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wp.sharepoint.com/projects/Documents/W-21-047/Task 4 Synthesis/Literature Review Papers/Literature Summaries/Biochar in Bioretention/"/>
    </mc:Choice>
  </mc:AlternateContent>
  <xr:revisionPtr revIDLastSave="3204" documentId="8_{199BB100-8194-4B7A-8DD8-64A1040A1047}" xr6:coauthVersionLast="47" xr6:coauthVersionMax="47" xr10:uidLastSave="{6BBCCA67-8BDC-486F-A4E1-4140CA79351B}"/>
  <bookViews>
    <workbookView xWindow="42540" yWindow="1470" windowWidth="14340" windowHeight="11910" xr2:uid="{4B6C0FF0-C0A6-4C5F-BFF4-DF316FDBF6C4}"/>
  </bookViews>
  <sheets>
    <sheet name="READ ME" sheetId="7" r:id="rId1"/>
    <sheet name="TN" sheetId="1" r:id="rId2"/>
    <sheet name="TP" sheetId="2" r:id="rId3"/>
    <sheet name="TSS" sheetId="3" r:id="rId4"/>
    <sheet name="Hydraulic Change" sheetId="6" r:id="rId5"/>
    <sheet name="Dropdown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P20" i="1"/>
  <c r="P30" i="1"/>
  <c r="P31" i="1"/>
  <c r="P52" i="1"/>
  <c r="P51" i="1"/>
  <c r="P50" i="1"/>
  <c r="P49" i="1"/>
  <c r="P47" i="1"/>
  <c r="P56" i="1" s="1"/>
  <c r="P46" i="1"/>
  <c r="P55" i="1" s="1"/>
  <c r="P44" i="1"/>
  <c r="O44" i="1"/>
  <c r="N44" i="1"/>
  <c r="O46" i="1"/>
  <c r="N46" i="1"/>
  <c r="O47" i="1"/>
  <c r="N47" i="1"/>
  <c r="P22" i="1"/>
  <c r="P21" i="1"/>
  <c r="P16" i="1"/>
  <c r="P12" i="1"/>
  <c r="P11" i="1"/>
  <c r="P10" i="1"/>
  <c r="Q31" i="1"/>
  <c r="Q52" i="1"/>
  <c r="Q51" i="1"/>
  <c r="Q50" i="1"/>
  <c r="Q49" i="1"/>
  <c r="Q47" i="1"/>
  <c r="Q46" i="1"/>
  <c r="Q44" i="1"/>
  <c r="Q30" i="1"/>
  <c r="Q22" i="1"/>
  <c r="Q21" i="1"/>
  <c r="Q20" i="1"/>
  <c r="Q16" i="1"/>
  <c r="Q12" i="1"/>
  <c r="Q11" i="1"/>
  <c r="P3" i="1"/>
  <c r="P4" i="1"/>
  <c r="P5" i="1"/>
  <c r="P6" i="1"/>
  <c r="P7" i="1"/>
  <c r="P8" i="1"/>
  <c r="P9" i="1"/>
  <c r="P53" i="1"/>
  <c r="Q3" i="1"/>
  <c r="Q4" i="1"/>
  <c r="Q5" i="1"/>
  <c r="Q6" i="1"/>
  <c r="Q7" i="1"/>
  <c r="Q8" i="1"/>
  <c r="Q9" i="1"/>
  <c r="Q13" i="1"/>
  <c r="Q14" i="1"/>
  <c r="Q15" i="1"/>
  <c r="Q17" i="1"/>
  <c r="Q18" i="1"/>
  <c r="Q19" i="1"/>
  <c r="Q23" i="1"/>
  <c r="Q24" i="1"/>
  <c r="Q25" i="1"/>
  <c r="Q26" i="1"/>
  <c r="Q27" i="1"/>
  <c r="Q28" i="1"/>
  <c r="Q29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8" i="1"/>
  <c r="Q53" i="1"/>
  <c r="G41" i="1"/>
  <c r="Q55" i="1" l="1"/>
  <c r="E5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Alexandria Wilkins</author>
  </authors>
  <commentList>
    <comment ref="D2" authorId="0" shapeId="0" xr:uid="{078A1195-BA8E-4065-9D58-294AA56C0247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By Volume (bv)
By Weight (bw)</t>
        </r>
      </text>
    </comment>
    <comment ref="H2" authorId="0" shapeId="0" xr:uid="{649A7F7D-4D0E-4F68-AF82-ED31875707A0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Reduction</t>
        </r>
        <r>
          <rPr>
            <sz val="9"/>
            <color indexed="81"/>
            <rFont val="Tahoma"/>
            <family val="2"/>
          </rPr>
          <t xml:space="preserve"> = Describes results reported as an increase or decrease when compared to a control.
</t>
        </r>
        <r>
          <rPr>
            <b/>
            <u/>
            <sz val="9"/>
            <color indexed="81"/>
            <rFont val="Tahoma"/>
            <family val="2"/>
          </rPr>
          <t>Removal Efficiency</t>
        </r>
        <r>
          <rPr>
            <sz val="9"/>
            <color indexed="81"/>
            <rFont val="Tahoma"/>
            <family val="2"/>
          </rPr>
          <t xml:space="preserve"> = Describes the percentage reduction based on influent-effluent sampling. </t>
        </r>
      </text>
    </comment>
    <comment ref="R2" authorId="0" shapeId="0" xr:uid="{8480F007-DA67-4D60-9D1F-296D299CBEF0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If N influent differs between control and biochar test, Control influent will be in parentheses ().</t>
        </r>
      </text>
    </comment>
    <comment ref="U2" authorId="0" shapeId="0" xr:uid="{E357DDA4-DA16-4B6F-97DC-52625CDDEB48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Impact is determned by the difference between the reported pollutant removal results from control and biochar applications and/or the influent concentrations, if applicable.</t>
        </r>
      </text>
    </comment>
    <comment ref="G40" authorId="0" shapeId="0" xr:uid="{4ABE8B2F-72AF-4E55-9B34-E7A6EBB89547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  <comment ref="G41" authorId="0" shapeId="0" xr:uid="{374EB9ED-3063-45F2-9336-FB7564092C10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Alexandria Wilkins</author>
  </authors>
  <commentList>
    <comment ref="D1" authorId="0" shapeId="0" xr:uid="{45646EC2-E0F6-4A5E-A80F-57BF26A99F4A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By Volume (bv)
By Weight (bw)</t>
        </r>
      </text>
    </comment>
    <comment ref="G1" authorId="0" shapeId="0" xr:uid="{46654595-F5AA-413C-BC07-49F2C189DEB3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Reduction</t>
        </r>
        <r>
          <rPr>
            <sz val="9"/>
            <color indexed="81"/>
            <rFont val="Tahoma"/>
            <family val="2"/>
          </rPr>
          <t xml:space="preserve"> = Describes results reported as an increase or decrease when compared to a control.
</t>
        </r>
        <r>
          <rPr>
            <b/>
            <u/>
            <sz val="9"/>
            <color indexed="81"/>
            <rFont val="Tahoma"/>
            <family val="2"/>
          </rPr>
          <t>Removal Efficiency</t>
        </r>
        <r>
          <rPr>
            <sz val="9"/>
            <color indexed="81"/>
            <rFont val="Tahoma"/>
            <family val="2"/>
          </rPr>
          <t xml:space="preserve"> = Describes the percentage reduction based on influent-effluent sampling.</t>
        </r>
      </text>
    </comment>
    <comment ref="P1" authorId="0" shapeId="0" xr:uid="{3CF70861-F25B-46D3-99B5-2802C038CC25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If N influent differs between control and biochar test, Control influent will be in parentheses ().</t>
        </r>
      </text>
    </comment>
    <comment ref="S1" authorId="0" shapeId="0" xr:uid="{EEC2C375-E6DB-40C5-BC6D-4914D62D5BB4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Impact is determned by the difference between the reported pollutant removal results from control and biochar applications and/or the influent concentrations, if applicable.</t>
        </r>
      </text>
    </comment>
    <comment ref="H17" authorId="0" shapeId="0" xr:uid="{21C1901A-03A6-403E-B8A5-3101E311FC83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  <comment ref="H18" authorId="0" shapeId="0" xr:uid="{AF2DC691-C8CA-44FA-AD21-75F1F7185B76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Alexandria Wilkins</author>
  </authors>
  <commentList>
    <comment ref="D1" authorId="0" shapeId="0" xr:uid="{3891A4FF-912F-4C51-9D73-AE390ED669CE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By Volume (bv)
By Weight (bw)</t>
        </r>
      </text>
    </comment>
    <comment ref="H1" authorId="0" shapeId="0" xr:uid="{AE4709DA-AFC5-447C-B984-F2CC48348C38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Reduction</t>
        </r>
        <r>
          <rPr>
            <sz val="9"/>
            <color indexed="81"/>
            <rFont val="Tahoma"/>
            <family val="2"/>
          </rPr>
          <t xml:space="preserve"> = Describes results reported as an increase or decrease when compared to a control.
</t>
        </r>
        <r>
          <rPr>
            <b/>
            <u/>
            <sz val="9"/>
            <color indexed="81"/>
            <rFont val="Tahoma"/>
            <family val="2"/>
          </rPr>
          <t>Removal Efficiency</t>
        </r>
        <r>
          <rPr>
            <sz val="9"/>
            <color indexed="81"/>
            <rFont val="Tahoma"/>
            <family val="2"/>
          </rPr>
          <t xml:space="preserve"> = Describes the percentage reduction based on influent-effluent sampling.</t>
        </r>
      </text>
    </comment>
    <comment ref="P1" authorId="0" shapeId="0" xr:uid="{B40AC468-0358-46A1-9C04-31D5156DF87B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If N influent differs between control and biochar test, Control influent will be in parentheses ().</t>
        </r>
      </text>
    </comment>
    <comment ref="S1" authorId="0" shapeId="0" xr:uid="{EC32A8ED-CDBC-4713-ADD8-961DE3BDF6E7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Impact is determned by the difference between the reported pollutant removal results from control and biochar applications and/or the influent concentrations, if applicable.</t>
        </r>
      </text>
    </comment>
    <comment ref="I7" authorId="0" shapeId="0" xr:uid="{74820B2D-FFCD-4A56-9CC2-EC8C4E83B62F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  <comment ref="I8" authorId="0" shapeId="0" xr:uid="{6289A0B1-49D2-4695-91A1-1960EA68B1C0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Calculated estimate based on reported influent and effluent.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Alexandria Wilkins</author>
  </authors>
  <commentList>
    <comment ref="D1" authorId="0" shapeId="0" xr:uid="{0D155C0C-0A5B-4B8E-8980-FAF5AD9A87CE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By Volume (bv)
By Weight (bw)</t>
        </r>
      </text>
    </comment>
    <comment ref="R1" authorId="0" shapeId="0" xr:uid="{D4D054EE-DBFE-4BB8-9C53-FADD723F5211}">
      <text>
        <r>
          <rPr>
            <b/>
            <sz val="9"/>
            <color indexed="81"/>
            <rFont val="Tahoma"/>
            <family val="2"/>
          </rPr>
          <t>Alexandria Wilkins:</t>
        </r>
        <r>
          <rPr>
            <sz val="9"/>
            <color indexed="81"/>
            <rFont val="Tahoma"/>
            <family val="2"/>
          </rPr>
          <t xml:space="preserve">
Impact is determned by the difference between the reported hydraulic parameter results from control and biochar applications.
</t>
        </r>
      </text>
    </comment>
  </commentList>
</comments>
</file>

<file path=xl/sharedStrings.xml><?xml version="1.0" encoding="utf-8"?>
<sst xmlns="http://schemas.openxmlformats.org/spreadsheetml/2006/main" count="2553" uniqueCount="501">
  <si>
    <t>Study Type</t>
  </si>
  <si>
    <t>Location</t>
  </si>
  <si>
    <t>Biochar Feedstock</t>
  </si>
  <si>
    <t>Biochar Rate</t>
  </si>
  <si>
    <t>Water Retention  </t>
  </si>
  <si>
    <t>Saturated Hydraulic Conductivity</t>
  </si>
  <si>
    <t>N Reduction (Overall)</t>
  </si>
  <si>
    <t>Reference</t>
  </si>
  <si>
    <t>Test Iteration</t>
  </si>
  <si>
    <t>Value Type</t>
  </si>
  <si>
    <t>N Type</t>
  </si>
  <si>
    <t>Reduction/ Removal Efficiency  </t>
  </si>
  <si>
    <t>Unit</t>
  </si>
  <si>
    <t>Control</t>
  </si>
  <si>
    <t>Biochar</t>
  </si>
  <si>
    <t>CWP Calculated additional % reduction relative to control</t>
  </si>
  <si>
    <t xml:space="preserve"> Influent N (Control)</t>
  </si>
  <si>
    <t>Significance</t>
  </si>
  <si>
    <t>p-value</t>
  </si>
  <si>
    <t>Biochar Impact</t>
  </si>
  <si>
    <t>Notes</t>
  </si>
  <si>
    <t>Lab (Column)</t>
  </si>
  <si>
    <t>California</t>
  </si>
  <si>
    <t>Wood</t>
  </si>
  <si>
    <t>30% bv</t>
  </si>
  <si>
    <t xml:space="preserve"> –</t>
  </si>
  <si>
    <t>16.6 – 20.6 cm/hr</t>
  </si>
  <si>
    <t>Afrooz and  Boehm (2017)</t>
  </si>
  <si>
    <t>S7</t>
  </si>
  <si>
    <t>Reported</t>
  </si>
  <si>
    <t>Removal Efficiency</t>
  </si>
  <si>
    <t>%</t>
  </si>
  <si>
    <t>18.3 ±5.2%</t>
  </si>
  <si>
    <t>61.4±3.4%</t>
  </si>
  <si>
    <t>Increased Reduction</t>
  </si>
  <si>
    <t>biofilter with saturation zone and a 7 day antecedent dry period</t>
  </si>
  <si>
    <t>U7</t>
  </si>
  <si>
    <t>-10.3±17.3%</t>
  </si>
  <si>
    <t>36.1±6.9%</t>
  </si>
  <si>
    <t>biofilter without saturation zone and a 7 day antecedent dry period</t>
  </si>
  <si>
    <t>-6.8±16.6%</t>
  </si>
  <si>
    <t>26.8± 7.2%</t>
  </si>
  <si>
    <t>Estimated</t>
  </si>
  <si>
    <t>7.7±4.3%</t>
  </si>
  <si>
    <t>~35± 10%</t>
  </si>
  <si>
    <t>50 – 58%</t>
  </si>
  <si>
    <t>Overall</t>
  </si>
  <si>
    <t>No Significant Difference</t>
  </si>
  <si>
    <t>no significant difference between controls and test columns for NH4-N removal efficiency (%)</t>
  </si>
  <si>
    <t>36.1 – 61.4%</t>
  </si>
  <si>
    <t>Pollutant Reduction</t>
  </si>
  <si>
    <t>19.0 – 26.8%</t>
  </si>
  <si>
    <t>Lab</t>
  </si>
  <si>
    <t>Delaware</t>
  </si>
  <si>
    <t>Wood (Pine)</t>
  </si>
  <si>
    <t>18% bv</t>
  </si>
  <si>
    <t>36±1%</t>
  </si>
  <si>
    <t>Akpinar et al. (2023c) </t>
  </si>
  <si>
    <t>DE mix</t>
  </si>
  <si>
    <t>NO3</t>
  </si>
  <si>
    <t>g/m2</t>
  </si>
  <si>
    <t>~0.07</t>
  </si>
  <si>
    <t>~0.04</t>
  </si>
  <si>
    <t>~0.18</t>
  </si>
  <si>
    <t>Statistically signficant difference between 18% BC and 0% control</t>
  </si>
  <si>
    <t>p&lt;0.01</t>
  </si>
  <si>
    <t>Estimates based on Figure 3 (C) - Nitrate loading where control = 0% BC</t>
  </si>
  <si>
    <t>28±1%</t>
  </si>
  <si>
    <t>NC mix</t>
  </si>
  <si>
    <t>~0.06</t>
  </si>
  <si>
    <t>~0.03</t>
  </si>
  <si>
    <t xml:space="preserve">Statistically significant difference between 18% BC and 9% BC as well as the 0% BC control </t>
  </si>
  <si>
    <t>p&lt;0.05</t>
  </si>
  <si>
    <t>28±4%</t>
  </si>
  <si>
    <t>TN</t>
  </si>
  <si>
    <t>~0.73</t>
  </si>
  <si>
    <t>~0.5</t>
  </si>
  <si>
    <t>~0.38</t>
  </si>
  <si>
    <t>Statistically significant difference between 18% BC and 0%BC control</t>
  </si>
  <si>
    <t>Estimates based on Figure 3 (A) - TN loading where control =0% BC</t>
  </si>
  <si>
    <t>9% bv</t>
  </si>
  <si>
    <t>~0.05</t>
  </si>
  <si>
    <t>No statistical significance between 9% BC and 0% BC control.</t>
  </si>
  <si>
    <t>Estimates based on Figure 3 (C)</t>
  </si>
  <si>
    <t>9 - 18% bv</t>
  </si>
  <si>
    <t>5 – 8%</t>
  </si>
  <si>
    <t>31 – 70%</t>
  </si>
  <si>
    <t>28 – 36%</t>
  </si>
  <si>
    <t>~0.29</t>
  </si>
  <si>
    <t>~0.2</t>
  </si>
  <si>
    <t>No statistical significance between 9% BC and 18% BC or 0% BC control</t>
  </si>
  <si>
    <t>Estimates based on Figure 3 (A)</t>
  </si>
  <si>
    <t>65±3%</t>
  </si>
  <si>
    <t>~0.1</t>
  </si>
  <si>
    <t>Statistically significant difference between 18% BC and 0% BC control</t>
  </si>
  <si>
    <t>&lt;0.05</t>
  </si>
  <si>
    <t>4 – 8%</t>
  </si>
  <si>
    <t>30 – 70%</t>
  </si>
  <si>
    <t>28 – 65%</t>
  </si>
  <si>
    <t>Lab (pilot-scale)</t>
  </si>
  <si>
    <t>Pine Wood</t>
  </si>
  <si>
    <t>33% bw</t>
  </si>
  <si>
    <t>Ashoori et al. (2019)</t>
  </si>
  <si>
    <t>NO3-N</t>
  </si>
  <si>
    <t>Softwood</t>
  </si>
  <si>
    <t>5- 20 % bv</t>
  </si>
  <si>
    <t>5364 – 1476 mm/hr</t>
  </si>
  <si>
    <t>~30 - 100%</t>
  </si>
  <si>
    <t>Berger et al. (2019)</t>
  </si>
  <si>
    <t>Estimate based on Figure 2 and 3. The large range in pollutant reduction is due to the range of stormwater loading and application rates evaluated in the study.</t>
  </si>
  <si>
    <t>Field</t>
  </si>
  <si>
    <t>Finland</t>
  </si>
  <si>
    <t>Wood (Birch)</t>
  </si>
  <si>
    <t>3% bv</t>
  </si>
  <si>
    <t>21-26%</t>
  </si>
  <si>
    <t>Kuoppamaki et al. (2019)</t>
  </si>
  <si>
    <t>mg/L</t>
  </si>
  <si>
    <t>~45 mg/L</t>
  </si>
  <si>
    <t>~23 mg/L</t>
  </si>
  <si>
    <t>10 mg/L</t>
  </si>
  <si>
    <t>Statistically significant difference between the Compost and biochar vs. the compost control</t>
  </si>
  <si>
    <t>p&lt;0.001</t>
  </si>
  <si>
    <t>Biochar increased nutrient reduction, but leaching was still an issue likely due to the inclusion of compost. Data from Figure 3 in Supplemental Material</t>
  </si>
  <si>
    <t>Nevada</t>
  </si>
  <si>
    <t>Wood (Pinyon-Juniper)</t>
  </si>
  <si>
    <t>McCrum (2017)</t>
  </si>
  <si>
    <t>30% BC</t>
  </si>
  <si>
    <t>NH4-N</t>
  </si>
  <si>
    <t>Reduction</t>
  </si>
  <si>
    <t>mg (%)</t>
  </si>
  <si>
    <t>8.6mg (11%)</t>
  </si>
  <si>
    <t>16.4mg(21%)</t>
  </si>
  <si>
    <t>77mg (76 mg)</t>
  </si>
  <si>
    <t>Statistically Significant differences between control and Biochar treatments</t>
  </si>
  <si>
    <t>15% bv</t>
  </si>
  <si>
    <t>15% BC</t>
  </si>
  <si>
    <t>10.7mg (14%)</t>
  </si>
  <si>
    <t>76 mg</t>
  </si>
  <si>
    <t>1.0mg (2.0%)</t>
  </si>
  <si>
    <t>1.1mg (1.5%)</t>
  </si>
  <si>
    <t>74 mg (49mg)</t>
  </si>
  <si>
    <t>No statistical significance between control and biochar treatments</t>
  </si>
  <si>
    <t>1.0mg (1.4%)</t>
  </si>
  <si>
    <t>74 mg (49 mg)</t>
  </si>
  <si>
    <t xml:space="preserve">15 – 30% bv </t>
  </si>
  <si>
    <t>15  – 30% bv</t>
  </si>
  <si>
    <t>14  – 21%</t>
  </si>
  <si>
    <t>~30%</t>
  </si>
  <si>
    <t>Pritchard et al. (2022)</t>
  </si>
  <si>
    <t>Sand+BC</t>
  </si>
  <si>
    <t>statistical significance and p-values were not reported for differences in treatment.</t>
  </si>
  <si>
    <t>Florida</t>
  </si>
  <si>
    <t>0.37-0.79 g H20/g media</t>
  </si>
  <si>
    <t>Rahman et al (2020a)</t>
  </si>
  <si>
    <t>SBC1</t>
  </si>
  <si>
    <t>DON</t>
  </si>
  <si>
    <t>12.48mg (40.95±20.52%)</t>
  </si>
  <si>
    <t>11.76mg (46.81±26.52%)</t>
  </si>
  <si>
    <t>1.16±0.19 mg/l</t>
  </si>
  <si>
    <t>No statistical significance between  control and biochar treatments</t>
  </si>
  <si>
    <t>p&gt;0.05</t>
  </si>
  <si>
    <t>SBC2</t>
  </si>
  <si>
    <t>11.18mg (50.19±24.88%)</t>
  </si>
  <si>
    <t>TAN</t>
  </si>
  <si>
    <t>6.72mg (78.30±13.10%)</t>
  </si>
  <si>
    <t>0.17mg (99.24±1.32%)</t>
  </si>
  <si>
    <t>1.00± 0.38 mg/l</t>
  </si>
  <si>
    <t>Statistically significant difference from the control treatment</t>
  </si>
  <si>
    <t>0.075mg (99.52±0.67%)</t>
  </si>
  <si>
    <t>36.94mg (39.42±10.13%)</t>
  </si>
  <si>
    <t>31.56mg (44.59±14.06%)</t>
  </si>
  <si>
    <t>3.14±0.44 mg/l</t>
  </si>
  <si>
    <t>30.39mg (47.55±11.60%)</t>
  </si>
  <si>
    <t>NOx</t>
  </si>
  <si>
    <t>17.55mg (-14.46±-41.2%)</t>
  </si>
  <si>
    <t>20.19mg (-36.86±(-62.8)%)</t>
  </si>
  <si>
    <t>0.98± 0.45 mg/l</t>
  </si>
  <si>
    <t>19.41mg (-27.94±(-47.2)%)</t>
  </si>
  <si>
    <t>-36.86  – ( -27.94)%</t>
  </si>
  <si>
    <t>Pollutant Increase</t>
  </si>
  <si>
    <t>46.81 – 46.33%</t>
  </si>
  <si>
    <t>44.59  – 47.55%</t>
  </si>
  <si>
    <t>Lab (column)</t>
  </si>
  <si>
    <t>Illinois</t>
  </si>
  <si>
    <t>Wood Pellets</t>
  </si>
  <si>
    <t>~82.7 - 89.6%</t>
  </si>
  <si>
    <t>Reddy et al. (2014)</t>
  </si>
  <si>
    <t>Washed BC</t>
  </si>
  <si>
    <t>1.5-2.5mg/L</t>
  </si>
  <si>
    <t>14.46mg/L</t>
  </si>
  <si>
    <t>Increased reduction compared to unwashed biochar. Overall N reduction values are calculated based on reported influent and effluent concentrations.</t>
  </si>
  <si>
    <t>Unwashed BC</t>
  </si>
  <si>
    <t>&lt;4mg/L</t>
  </si>
  <si>
    <t>27mg/L</t>
  </si>
  <si>
    <t>Overall N reduction values are calculated based on reported influent and effluent concentrations.</t>
  </si>
  <si>
    <t>Hardwood</t>
  </si>
  <si>
    <t>10% bw</t>
  </si>
  <si>
    <t>Tian et al. (2016)</t>
  </si>
  <si>
    <t xml:space="preserve"> NH4</t>
  </si>
  <si>
    <t>Tian et al. (2019)</t>
  </si>
  <si>
    <t>Test #3</t>
  </si>
  <si>
    <t>g(%)</t>
  </si>
  <si>
    <t>17.80g</t>
  </si>
  <si>
    <t>Statistically significant difference between treatment and control</t>
  </si>
  <si>
    <t>vadose zone reductions. Statistical significance and p-values were not reported as a part of the study.</t>
  </si>
  <si>
    <t>Test#4</t>
  </si>
  <si>
    <t>1.06g (89.4%)</t>
  </si>
  <si>
    <t>1.13g (95.7%)</t>
  </si>
  <si>
    <t>1.19g</t>
  </si>
  <si>
    <t>No significant difference between treatment and control</t>
  </si>
  <si>
    <t>Test #2</t>
  </si>
  <si>
    <t>1.29g</t>
  </si>
  <si>
    <t>Test #1</t>
  </si>
  <si>
    <t>1.97g</t>
  </si>
  <si>
    <t>11-27%</t>
  </si>
  <si>
    <t>30.6  – 95.7%</t>
  </si>
  <si>
    <t>Biochar and ZVI, removal in vadose zone, reductions for 4 tests, first 3 test were 6.8 cm simulated storms, last test was hydraulic loading reduced to half of the previous 3 tests.</t>
  </si>
  <si>
    <t>Colorado</t>
  </si>
  <si>
    <t>33% bv</t>
  </si>
  <si>
    <t>Ulrich et al. (2017b)</t>
  </si>
  <si>
    <t>Sand Filter</t>
  </si>
  <si>
    <t xml:space="preserve"> NO3-N</t>
  </si>
  <si>
    <t>0.75 mg/L</t>
  </si>
  <si>
    <t>0.53 mg/L</t>
  </si>
  <si>
    <t>0.69 mg/L</t>
  </si>
  <si>
    <t>Statistically significant difference between unamended and amended sand filter</t>
  </si>
  <si>
    <t>p = 0.0319</t>
  </si>
  <si>
    <t>sand with biochar amendment</t>
  </si>
  <si>
    <t>Biofilter</t>
  </si>
  <si>
    <t>0.67 mg/L</t>
  </si>
  <si>
    <t>&lt;0.2 mg/L</t>
  </si>
  <si>
    <t>Statistically significant difference between unamended and amended biofilter</t>
  </si>
  <si>
    <t>sand with biochar and compost amendment. Amended biofilter effluent was below detection limit for nitrate.</t>
  </si>
  <si>
    <t>2.07 mg/L</t>
  </si>
  <si>
    <t>0.78 mg/L</t>
  </si>
  <si>
    <t>1.5 mg/L</t>
  </si>
  <si>
    <t>p = 0.000398</t>
  </si>
  <si>
    <t>sand with biochar and compost amendment</t>
  </si>
  <si>
    <t>1.55 mg/L</t>
  </si>
  <si>
    <t>0.7 mg/L</t>
  </si>
  <si>
    <t>p = 0.000527</t>
  </si>
  <si>
    <t>17–34 cm/hr</t>
  </si>
  <si>
    <t>Statistically significant improvement in TN removal</t>
  </si>
  <si>
    <t>p = 0.0004</t>
  </si>
  <si>
    <t>average</t>
  </si>
  <si>
    <t>median</t>
  </si>
  <si>
    <t>P Reduction (Overall)</t>
  </si>
  <si>
    <t>P Type</t>
  </si>
  <si>
    <t xml:space="preserve"> Influent P (Control)</t>
  </si>
  <si>
    <t>18.8 – 21.9%</t>
  </si>
  <si>
    <t>TP</t>
  </si>
  <si>
    <t>15.8 ±  7.9%</t>
  </si>
  <si>
    <t>18.8 ±  10.7%</t>
  </si>
  <si>
    <t>13.3 ± 10.9%</t>
  </si>
  <si>
    <t>19.7 ±  6.9%</t>
  </si>
  <si>
    <t>-19 –0%</t>
  </si>
  <si>
    <t>~0.31</t>
  </si>
  <si>
    <t>Estimate based on Figure 3(B)</t>
  </si>
  <si>
    <t>~0.32</t>
  </si>
  <si>
    <t>No statistical significance between 18% BC and 9% BC or 0% BC control</t>
  </si>
  <si>
    <t>-19±8%</t>
  </si>
  <si>
    <t>~0.36</t>
  </si>
  <si>
    <t>~0.42</t>
  </si>
  <si>
    <t>~0.33</t>
  </si>
  <si>
    <t>Statistically significant</t>
  </si>
  <si>
    <t>Decreased Reduction</t>
  </si>
  <si>
    <t>Estimate based on Figure 3(B). Decreased reduction likely due to leaching from increased organic material compared to NC mix.</t>
  </si>
  <si>
    <t>PO4-P</t>
  </si>
  <si>
    <t>~0.003</t>
  </si>
  <si>
    <t>~0.0025</t>
  </si>
  <si>
    <t>Estimate based on Figure 3(D)</t>
  </si>
  <si>
    <t>~0.01</t>
  </si>
  <si>
    <t>~0.075</t>
  </si>
  <si>
    <t>No statistical significance between 18% BC and 0% BC control</t>
  </si>
  <si>
    <t>21 – 26%</t>
  </si>
  <si>
    <t>~0.02</t>
  </si>
  <si>
    <t>~0.93</t>
  </si>
  <si>
    <t>No statistical significance between compost and compost + biochar treatments</t>
  </si>
  <si>
    <t>p = 0.171</t>
  </si>
  <si>
    <t>data from Figure 3 in Supplemental Material</t>
  </si>
  <si>
    <t xml:space="preserve">6.7 – 9.7% </t>
  </si>
  <si>
    <t>OP-P</t>
  </si>
  <si>
    <t>mg(%)</t>
  </si>
  <si>
    <t>1.0mg (7.8%)</t>
  </si>
  <si>
    <t>2.1mg (6.4%)</t>
  </si>
  <si>
    <t>33mg (13 mg)</t>
  </si>
  <si>
    <t>No statically significant difference between treatments and control</t>
  </si>
  <si>
    <t>bv%</t>
  </si>
  <si>
    <t>3.1mg (9.4%)</t>
  </si>
  <si>
    <t>Statistically significant difference between 30% BC and 15% BC treatments</t>
  </si>
  <si>
    <t>Phosphate</t>
  </si>
  <si>
    <t>comparison between unwashed and washed BC. Washed BC was found to provide greater reductions</t>
  </si>
  <si>
    <t>~99%</t>
  </si>
  <si>
    <t>0.3-0.4mg/L</t>
  </si>
  <si>
    <t>57mg/L</t>
  </si>
  <si>
    <t>~36.6 - 51.2%</t>
  </si>
  <si>
    <t>0.4-0.52mg/L</t>
  </si>
  <si>
    <t>0.82mg/L</t>
  </si>
  <si>
    <t>increased reduction compared to unwashed BC</t>
  </si>
  <si>
    <t>17 – 34 cm/hr</t>
  </si>
  <si>
    <t>P</t>
  </si>
  <si>
    <t>&lt;0.01</t>
  </si>
  <si>
    <t>No statistically significant diffference</t>
  </si>
  <si>
    <t>sand filter amended with biochar. TDP concentrations were below the detection limit.</t>
  </si>
  <si>
    <t>p = 0.00705</t>
  </si>
  <si>
    <t>biofilter amended with compost and biochar. Increased reduction compared to the leaching from the control.</t>
  </si>
  <si>
    <t>Parameter Name</t>
  </si>
  <si>
    <t>TSS Reduction (overall)</t>
  </si>
  <si>
    <t>Iteration</t>
  </si>
  <si>
    <t>Units</t>
  </si>
  <si>
    <t xml:space="preserve"> Influent (Control)</t>
  </si>
  <si>
    <t>TSS</t>
  </si>
  <si>
    <t>97-99%</t>
  </si>
  <si>
    <t>Sand+BC (0 days)</t>
  </si>
  <si>
    <t>0.95±0.06</t>
  </si>
  <si>
    <t>0.8±0.19</t>
  </si>
  <si>
    <t>0.21±0.01</t>
  </si>
  <si>
    <t>Biochar increased reduction but leaching resulted in effluent &gt; influent. Statistical significance and p-values were not reported for differences in treatment.</t>
  </si>
  <si>
    <t>Sand+BC (62 days)</t>
  </si>
  <si>
    <t>0.56±0.23</t>
  </si>
  <si>
    <t>0.35±0.36</t>
  </si>
  <si>
    <t>40.23±1.08</t>
  </si>
  <si>
    <t>Statistical significance and p-values were not reported for differences in treatment.</t>
  </si>
  <si>
    <t>TDS</t>
  </si>
  <si>
    <t>176±2</t>
  </si>
  <si>
    <t>174±2</t>
  </si>
  <si>
    <t>174±1</t>
  </si>
  <si>
    <t>No statistical significance</t>
  </si>
  <si>
    <t>~76%</t>
  </si>
  <si>
    <t>~35mg/L</t>
  </si>
  <si>
    <t>148mg/L</t>
  </si>
  <si>
    <t>~86%</t>
  </si>
  <si>
    <t>~20mg/L</t>
  </si>
  <si>
    <t>Reduction increase compared to unwashed biochar</t>
  </si>
  <si>
    <t>Practice Type</t>
  </si>
  <si>
    <t>Reported/Calculated</t>
  </si>
  <si>
    <t>Ksat</t>
  </si>
  <si>
    <t>Bioretention</t>
  </si>
  <si>
    <t>Week 1</t>
  </si>
  <si>
    <t>cm/h</t>
  </si>
  <si>
    <t>18.7±4.9</t>
  </si>
  <si>
    <t>No significant difference between  week 1 and week 20</t>
  </si>
  <si>
    <t>n/a</t>
  </si>
  <si>
    <t>No comparison data provided to show a difference between a system with or without biochar</t>
  </si>
  <si>
    <t>Week 20</t>
  </si>
  <si>
    <t>23.3±3.3</t>
  </si>
  <si>
    <t>20.6±3.0</t>
  </si>
  <si>
    <t>Ksat values were not reported for control biofilter test conditions to provide a comparison.</t>
  </si>
  <si>
    <t>16.6±1.7</t>
  </si>
  <si>
    <t>Akpinar et al. (2023b) </t>
  </si>
  <si>
    <t>DE mix (0 weeks)</t>
  </si>
  <si>
    <t>24.5±0.5</t>
  </si>
  <si>
    <t>23.6±1.1</t>
  </si>
  <si>
    <t>No statistically significant difference between niochar treatments at 0 weeks</t>
  </si>
  <si>
    <t>DE mix (30 weeks)</t>
  </si>
  <si>
    <t>Calculated</t>
  </si>
  <si>
    <t>53.9±1.1</t>
  </si>
  <si>
    <t>49.6±2.3</t>
  </si>
  <si>
    <t>No statistically significant difference between niochar treatments at 30 weeks</t>
  </si>
  <si>
    <t>Calculated based on the reported factors: 2.2(control) and 2.1(biochar impact).</t>
  </si>
  <si>
    <t>NC mix (0 weeks)</t>
  </si>
  <si>
    <t>14.9±0.5</t>
  </si>
  <si>
    <t>15.5±0.8</t>
  </si>
  <si>
    <t>No statistically significant difference between treatments at 0 weeks</t>
  </si>
  <si>
    <t>16.3±0.3</t>
  </si>
  <si>
    <t>NC mix (30 weeks)</t>
  </si>
  <si>
    <t>28.3±0.95</t>
  </si>
  <si>
    <t>38.8±2</t>
  </si>
  <si>
    <t>Statistically significant difference between 9% BC and 0% BC control treatments</t>
  </si>
  <si>
    <t>Increase</t>
  </si>
  <si>
    <t>Control calculated based on the reported increase from 0 weeks by a factor of 1.9. Biochar impact calculated based on the increase by a factor of 2.5.</t>
  </si>
  <si>
    <t>28.3±0.96</t>
  </si>
  <si>
    <t>47.3±0.9</t>
  </si>
  <si>
    <t>Statistically significant difference between 18% BC and 0% BC control treatments</t>
  </si>
  <si>
    <t>Control calculated based on the reported increase from 0 weeks by a factor of 1.9. Biochar impact calculated based on the increase by a factor of 2.9.</t>
  </si>
  <si>
    <t>Field Capacity</t>
  </si>
  <si>
    <t>16.3±3%</t>
  </si>
  <si>
    <t>18±4%</t>
  </si>
  <si>
    <t>No statistically significant difference between 9% BC and 18% BC or 0% BC control treatments</t>
  </si>
  <si>
    <t>23±3%</t>
  </si>
  <si>
    <t>p &lt;0.05</t>
  </si>
  <si>
    <t>19±5%</t>
  </si>
  <si>
    <t>21±5%</t>
  </si>
  <si>
    <t>No statistically significant difference between 0% BC control and 9% BC treatments</t>
  </si>
  <si>
    <t>27±4%</t>
  </si>
  <si>
    <t>~22%</t>
  </si>
  <si>
    <t>~24%</t>
  </si>
  <si>
    <t>No statistically significant difference between 18% BC and 0% BC control treatments at 0 weeks</t>
  </si>
  <si>
    <t>29±3%</t>
  </si>
  <si>
    <t>33±5%</t>
  </si>
  <si>
    <t>5 % bv</t>
  </si>
  <si>
    <t>Pore Volume</t>
  </si>
  <si>
    <t>5% BC column</t>
  </si>
  <si>
    <t>mL</t>
  </si>
  <si>
    <t>649.1±64.8</t>
  </si>
  <si>
    <t>623.4±10.8</t>
  </si>
  <si>
    <t>No significant difference between  BC treatments</t>
  </si>
  <si>
    <t>Decrease</t>
  </si>
  <si>
    <t>10 % bv</t>
  </si>
  <si>
    <t>10% BC column</t>
  </si>
  <si>
    <t>616±34.0</t>
  </si>
  <si>
    <t>20 % bv</t>
  </si>
  <si>
    <t>20% BC column</t>
  </si>
  <si>
    <t>607.8±23.2</t>
  </si>
  <si>
    <t>mm/h</t>
  </si>
  <si>
    <t>6048±1080</t>
  </si>
  <si>
    <t>5364±936</t>
  </si>
  <si>
    <t>statistical analysis results were not reported for differences in Ksat</t>
  </si>
  <si>
    <t>2304±864</t>
  </si>
  <si>
    <t>1476±72</t>
  </si>
  <si>
    <t>Maryland</t>
  </si>
  <si>
    <t>Wood (Fir and Pine)</t>
  </si>
  <si>
    <t>Soil Amendment</t>
  </si>
  <si>
    <t>Choudhury et al. (2024)</t>
  </si>
  <si>
    <t>Ramp site (2 months)</t>
  </si>
  <si>
    <t>&lt;0.3</t>
  </si>
  <si>
    <t xml:space="preserve">Statistically significant difference </t>
  </si>
  <si>
    <t>Control = Undisturbed soils</t>
  </si>
  <si>
    <t>17% bv</t>
  </si>
  <si>
    <t>Ramp site (5 months)</t>
  </si>
  <si>
    <t>Plaza site (2 months)</t>
  </si>
  <si>
    <t>Plaza site (5 months)</t>
  </si>
  <si>
    <t>No statistically significant difference</t>
  </si>
  <si>
    <t>p&gt;0.06</t>
  </si>
  <si>
    <t>Church site (5 months)</t>
  </si>
  <si>
    <t>Control = 0% BC (tilled) test plot</t>
  </si>
  <si>
    <t>Church site (7 months)</t>
  </si>
  <si>
    <t>Church site (15 months)</t>
  </si>
  <si>
    <t>Slack site (5 months)</t>
  </si>
  <si>
    <t>Slack site (7 months)</t>
  </si>
  <si>
    <t>Slack site (15 months)</t>
  </si>
  <si>
    <t>Water retention</t>
  </si>
  <si>
    <t>Initial Field Conditions</t>
  </si>
  <si>
    <t>+80±39%</t>
  </si>
  <si>
    <t>Statistically significant difference</t>
  </si>
  <si>
    <t>averaged across all sites, biochar showed an increase in water retention compared to undisturbed soils.</t>
  </si>
  <si>
    <t>Saturated Field Conditions</t>
  </si>
  <si>
    <t>+83±34%</t>
  </si>
  <si>
    <t>Texas</t>
  </si>
  <si>
    <t>Wood (Mesquite)</t>
  </si>
  <si>
    <t>Liu et al. (2015)</t>
  </si>
  <si>
    <t>Sand + BC</t>
  </si>
  <si>
    <t>-72±3%</t>
  </si>
  <si>
    <t>average; Control = pure sand</t>
  </si>
  <si>
    <t>2% bw</t>
  </si>
  <si>
    <t>-72±2%</t>
  </si>
  <si>
    <t>When biochar particles are finer than sand particles; Control = pure sand (0%BC)</t>
  </si>
  <si>
    <t>-15±2%</t>
  </si>
  <si>
    <t>When biochar particles are coarser than sand particles; Control = pure sand  (0%BC)</t>
  </si>
  <si>
    <t>p=0.25</t>
  </si>
  <si>
    <t>When biochar  and sand particles sizes are comparable,; Control = pure sand  (0%BC)</t>
  </si>
  <si>
    <t>Porosity</t>
  </si>
  <si>
    <t>m3/m3(%)</t>
  </si>
  <si>
    <t>0.39±0.01</t>
  </si>
  <si>
    <t>0.55±0.0</t>
  </si>
  <si>
    <t>control = 0% BC. BC reported is for 10% bw. Statistical significance and p-value were not reported for the differences in treatment.</t>
  </si>
  <si>
    <t>Sand+Biochar</t>
  </si>
  <si>
    <t>0.3±0.03%</t>
  </si>
  <si>
    <t>0.51±0.05%</t>
  </si>
  <si>
    <t>Sand+Biochar (initial)</t>
  </si>
  <si>
    <t>cm/s</t>
  </si>
  <si>
    <t>0.69±0.22</t>
  </si>
  <si>
    <t>0.31±0.01</t>
  </si>
  <si>
    <t>Sand+Biochar (62 days)</t>
  </si>
  <si>
    <t>0.35±0.04</t>
  </si>
  <si>
    <t>0.21±0.08</t>
  </si>
  <si>
    <t>g H20/g media</t>
  </si>
  <si>
    <t>biochar pyrolyzed at 900-1000C. Statistical significance and p-values were not reported for differences in treatment.</t>
  </si>
  <si>
    <t>biochar pyrolyzed at 550C. Statistical significance and p-values were not reported for differences in treatment.</t>
  </si>
  <si>
    <t>Water Holding Capacity (WHC)</t>
  </si>
  <si>
    <t>g H20/g biochar</t>
  </si>
  <si>
    <t>-</t>
  </si>
  <si>
    <t xml:space="preserve">+10.7 – 27% </t>
  </si>
  <si>
    <t>Mean Volumetric Water Content</t>
  </si>
  <si>
    <t>m3/m3</t>
  </si>
  <si>
    <t>Statistical significance and p-values were not reported as a part of the study.</t>
  </si>
  <si>
    <t>m3/m4</t>
  </si>
  <si>
    <t>m3/m5</t>
  </si>
  <si>
    <t>m3/m6</t>
  </si>
  <si>
    <t>Infiltration Rate</t>
  </si>
  <si>
    <t>Biofilter +BC (1 month)</t>
  </si>
  <si>
    <t>Biofilter +BC (6 month)</t>
  </si>
  <si>
    <t>Sand Filter +BC (1 month)</t>
  </si>
  <si>
    <t>Sand Filter +BC (6 month)</t>
  </si>
  <si>
    <t>Hydraulic Parameter</t>
  </si>
  <si>
    <t>Removal/Reduction</t>
  </si>
  <si>
    <t>N/A</t>
  </si>
  <si>
    <t>Other BMP</t>
  </si>
  <si>
    <t>Influent</t>
  </si>
  <si>
    <t>CWP Calculated % reduction (1-out/in)</t>
  </si>
  <si>
    <t>Effluent (reduction)</t>
  </si>
  <si>
    <t>effluent mass was calculated based on influent - vadose zone reductions. Statistical significance and p-values were not reported as a part of the study.</t>
  </si>
  <si>
    <t>Funded by NFWF</t>
  </si>
  <si>
    <t xml:space="preserve">The views and conclusions contained in this document are those of the authors and should not </t>
  </si>
  <si>
    <t xml:space="preserve">be interpreted as representing the opinions or policies of the U.S. Government or the National </t>
  </si>
  <si>
    <t xml:space="preserve">Fish and Wildlife Foundation and its funding sources. Mention of trade names or commercial </t>
  </si>
  <si>
    <t xml:space="preserve">products does not constitute their endorsement by the U.S. Government, or the National Fish </t>
  </si>
  <si>
    <t>and Wildlife Foundation or its funding sources.</t>
  </si>
  <si>
    <t xml:space="preserve">Created by Center for Watershed Protection </t>
  </si>
  <si>
    <t>Last Updated 3/17/2025</t>
  </si>
  <si>
    <t>Created for the Biochar for Bioretention Systems Literature Review, 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</si>
</sst>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ptos Narrow"/>
      <family val="2"/>
      <scheme val="minor"/>
    </font>
    <font>
      <b/>
      <u/>
      <sz val="9"/>
      <color indexed="81"/>
      <name val="Tahoma"/>
      <family val="2"/>
    </font>
    <font>
      <strike/>
      <sz val="11"/>
      <color theme="1"/>
      <name val="Aptos Narrow"/>
      <family val="2"/>
      <scheme val="minor"/>
    </font>
    <font>
      <strike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rgb="FF156082"/>
      </top>
      <bottom/>
      <diagonal/>
    </border>
    <border>
      <left/>
      <right style="thin">
        <color rgb="FF156082"/>
      </right>
      <top style="thin">
        <color rgb="FF156082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9" fontId="0" fillId="0" borderId="0" xfId="0" applyNumberFormat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3" fillId="2" borderId="0" xfId="0" applyFont="1" applyFill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9" fontId="0" fillId="0" borderId="1" xfId="0" applyNumberForma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/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164" fontId="0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quotePrefix="1" applyBorder="1" applyAlignment="1">
      <alignment horizontal="right"/>
    </xf>
    <xf numFmtId="0" fontId="0" fillId="0" borderId="3" xfId="0" applyBorder="1"/>
    <xf numFmtId="0" fontId="7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10" fontId="0" fillId="0" borderId="3" xfId="0" applyNumberFormat="1" applyBorder="1" applyAlignment="1">
      <alignment horizontal="right"/>
    </xf>
    <xf numFmtId="0" fontId="7" fillId="0" borderId="1" xfId="0" applyFont="1" applyBorder="1" applyAlignment="1">
      <alignment horizontal="right"/>
    </xf>
    <xf numFmtId="10" fontId="0" fillId="0" borderId="0" xfId="0" quotePrefix="1" applyNumberFormat="1" applyAlignment="1">
      <alignment horizontal="right"/>
    </xf>
    <xf numFmtId="0" fontId="9" fillId="0" borderId="1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9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3" xfId="0" applyFont="1" applyBorder="1" applyAlignment="1">
      <alignment horizontal="right"/>
    </xf>
    <xf numFmtId="0" fontId="10" fillId="0" borderId="2" xfId="0" applyFont="1" applyBorder="1"/>
    <xf numFmtId="9" fontId="0" fillId="0" borderId="1" xfId="0" applyNumberFormat="1" applyBorder="1"/>
    <xf numFmtId="0" fontId="0" fillId="0" borderId="1" xfId="0" applyBorder="1" applyAlignment="1">
      <alignment horizontal="left"/>
    </xf>
    <xf numFmtId="0" fontId="3" fillId="2" borderId="0" xfId="0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3" xfId="0" quotePrefix="1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9" fontId="10" fillId="0" borderId="3" xfId="1" applyFont="1" applyBorder="1" applyAlignment="1">
      <alignment horizontal="right"/>
    </xf>
    <xf numFmtId="9" fontId="9" fillId="0" borderId="0" xfId="0" applyNumberFormat="1" applyFont="1"/>
    <xf numFmtId="9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9" fontId="0" fillId="0" borderId="0" xfId="0" applyNumberFormat="1" applyAlignment="1">
      <alignment horizontal="left"/>
    </xf>
    <xf numFmtId="9" fontId="0" fillId="0" borderId="3" xfId="0" applyNumberFormat="1" applyBorder="1" applyAlignment="1">
      <alignment horizontal="left"/>
    </xf>
    <xf numFmtId="9" fontId="9" fillId="0" borderId="0" xfId="0" applyNumberFormat="1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10" fillId="0" borderId="0" xfId="0" applyNumberFormat="1" applyFont="1" applyAlignment="1">
      <alignment horizontal="left"/>
    </xf>
    <xf numFmtId="9" fontId="7" fillId="0" borderId="3" xfId="0" applyNumberFormat="1" applyFont="1" applyBorder="1" applyAlignment="1">
      <alignment horizontal="left"/>
    </xf>
    <xf numFmtId="9" fontId="0" fillId="3" borderId="0" xfId="0" applyNumberFormat="1" applyFill="1" applyAlignment="1">
      <alignment horizontal="left"/>
    </xf>
    <xf numFmtId="9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 outline="0">
        <left/>
        <right/>
        <top style="thin">
          <color theme="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alignment horizontal="right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3" formatCode="0%"/>
      <alignment horizontal="left" vertical="bottom" textRotation="0" wrapText="0" indent="0" justifyLastLine="0" shrinkToFit="0" readingOrder="0"/>
    </dxf>
    <dxf>
      <numFmt numFmtId="13" formatCode="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E9140-9291-4724-92B9-6D318979D078}" name="Table1" displayName="Table1" ref="A2:V55" totalsRowCount="1">
  <autoFilter ref="A2:V54" xr:uid="{C2CE9140-9291-4724-92B9-6D318979D078}"/>
  <sortState xmlns:xlrd2="http://schemas.microsoft.com/office/spreadsheetml/2017/richdata2" ref="A3:V54">
    <sortCondition ref="I2:I54"/>
  </sortState>
  <tableColumns count="22">
    <tableColumn id="1" xr3:uid="{38A28A03-3143-471F-8E15-224FE86B65F2}" name="Study Type"/>
    <tableColumn id="2" xr3:uid="{6B0E77B6-DB96-404D-8BA8-86B2F65190D2}" name="Location"/>
    <tableColumn id="3" xr3:uid="{B8C000D8-09A9-48E9-BB63-FB9CDCE59FE8}" name="Biochar Feedstock"/>
    <tableColumn id="4" xr3:uid="{A22FFDC9-C871-4A1F-9EBC-7A0F9B6008B6}" name="Biochar Rate" dataDxfId="49" totalsRowDxfId="48"/>
    <tableColumn id="5" xr3:uid="{0CE340AF-8864-4D3D-B0BE-D0E31C184178}" name="Water Retention  "/>
    <tableColumn id="6" xr3:uid="{397F00BE-8A3B-401E-BCF7-A348F2CDDC67}" name="Saturated Hydraulic Conductivity"/>
    <tableColumn id="9" xr3:uid="{FF222E9F-56B1-4A6B-9D56-2C516B24909F}" name="N Reduction (Overall)" dataDxfId="47" totalsRowDxfId="46"/>
    <tableColumn id="7" xr3:uid="{FEBEC267-FF89-4E1A-9C8D-AE28AC9616A0}" name="Reduction/ Removal Efficiency  " dataDxfId="45" totalsRowDxfId="44"/>
    <tableColumn id="11" xr3:uid="{9BF4C9DD-C9D2-4702-B5DA-836114125F4F}" name="Reference"/>
    <tableColumn id="15" xr3:uid="{D527B94D-0F5E-489A-AE8E-18E2B3A242DE}" name="Test Iteration"/>
    <tableColumn id="13" xr3:uid="{DA63226B-E53C-42F9-A09A-E02FEDDA7AB8}" name="Value Type"/>
    <tableColumn id="24" xr3:uid="{6ED2A964-B529-4E32-8114-EB0DE3850EFB}" name="N Type"/>
    <tableColumn id="16" xr3:uid="{6C93EFFB-7DF5-4FE6-B71D-038CA5E89910}" name="Unit"/>
    <tableColumn id="8" xr3:uid="{E4DF2249-B460-4366-92AC-EB5265EBB48F}" name="Control" dataDxfId="43" totalsRowDxfId="42"/>
    <tableColumn id="10" xr3:uid="{098CC329-0C41-4D76-8661-F8F917A6033A}" name="Biochar" totalsRowLabel="average" dataDxfId="41" totalsRowDxfId="40"/>
    <tableColumn id="22" xr3:uid="{A22D67FA-4C79-4761-9C87-5FC743A045A9}" name="CWP Calculated additional % reduction relative to control" totalsRowFunction="custom" dataDxfId="39" totalsRowDxfId="38">
      <calculatedColumnFormula>1-(0.07-0.04)/0.18</calculatedColumnFormula>
      <totalsRowFormula>AVERAGE(P10:P52)</totalsRowFormula>
    </tableColumn>
    <tableColumn id="21" xr3:uid="{1B0B5AE3-420D-4DEA-80D1-226FB3E1A969}" name="CWP Calculated % reduction (1-out/in)" totalsRowFunction="custom" dataDxfId="37" totalsRowDxfId="36">
      <calculatedColumnFormula>(1.55-0.7)/1.5</calculatedColumnFormula>
      <totalsRowFormula>AVERAGE(Q10:Q52)</totalsRowFormula>
    </tableColumn>
    <tableColumn id="17" xr3:uid="{8FA143DE-0721-47DE-B050-98F77190FC55}" name=" Influent N (Control)" dataDxfId="35" totalsRowDxfId="34"/>
    <tableColumn id="19" xr3:uid="{220AC9C3-83CE-4682-BE9D-F239509E075E}" name="Significance" dataDxfId="33" totalsRowDxfId="32"/>
    <tableColumn id="20" xr3:uid="{AD33D219-911D-41CE-A4DC-307D7195F2EA}" name="p-value" dataDxfId="31" totalsRowDxfId="30"/>
    <tableColumn id="18" xr3:uid="{F48DC41C-3597-4CD3-9D05-013F2F1FED4F}" name="Biochar Impact"/>
    <tableColumn id="14" xr3:uid="{9D099298-636A-4C89-8DB5-1328E54DB8D2}" name="Not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50E96C-0C99-4A91-A19D-DD6F767735F8}" name="Table13" displayName="Table13" ref="A1:T27" totalsRowShown="0" headerRowDxfId="29">
  <autoFilter ref="A1:T27" xr:uid="{C2CE9140-9291-4724-92B9-6D318979D078}"/>
  <sortState xmlns:xlrd2="http://schemas.microsoft.com/office/spreadsheetml/2017/richdata2" ref="A2:T27">
    <sortCondition ref="J1:J27"/>
  </sortState>
  <tableColumns count="20">
    <tableColumn id="1" xr3:uid="{FB1AA931-8DC1-448D-9D3F-BFCAD5FA9A59}" name="Study Type"/>
    <tableColumn id="2" xr3:uid="{074032F1-D39A-42C0-9FF8-17EC1B7E5D32}" name="Location"/>
    <tableColumn id="3" xr3:uid="{55415DA4-BB88-4DEB-983E-FCD8EC77AE9D}" name="Biochar Feedstock"/>
    <tableColumn id="4" xr3:uid="{56DD6988-8222-4F54-822D-C5E87CE615F8}" name="Biochar Rate" dataDxfId="28"/>
    <tableColumn id="5" xr3:uid="{A0AE9877-5AE3-4195-A5EE-DD495778F08D}" name="Water Retention  "/>
    <tableColumn id="6" xr3:uid="{C49E780D-7954-4C60-B8A3-57B35EFD3C31}" name="Saturated Hydraulic Conductivity"/>
    <tableColumn id="7" xr3:uid="{3E252622-6490-4228-A15A-195F5F2ECA94}" name="Reduction/ Removal Efficiency  "/>
    <tableColumn id="10" xr3:uid="{CC4CB852-5521-41DA-9620-B0DFB7DADB49}" name="P Reduction (Overall)"/>
    <tableColumn id="13" xr3:uid="{D0D562E0-9818-4E7E-BA82-255A0D8BB806}" name="P Type"/>
    <tableColumn id="11" xr3:uid="{BF6ECE57-91CD-4713-B376-EFF9CABABBAD}" name="Reference"/>
    <tableColumn id="14" xr3:uid="{6D42CDD7-CBF5-4130-8596-EBBF2334289A}" name="Test Iteration"/>
    <tableColumn id="12" xr3:uid="{4C895E92-D357-416C-875B-BB194A5952E4}" name="Value Type"/>
    <tableColumn id="15" xr3:uid="{EDFAD30E-139A-4CD8-861E-37D02F85C38F}" name="Unit"/>
    <tableColumn id="9" xr3:uid="{D36E867C-B89E-4DCD-8300-6EA2C1219A0F}" name="Control"/>
    <tableColumn id="8" xr3:uid="{51C49E4B-8723-458B-BC18-8CE3E22226D0}" name="Biochar"/>
    <tableColumn id="17" xr3:uid="{522EC992-C8C0-4E4E-8F97-429E79776D2F}" name=" Influent P (Control)" dataDxfId="27"/>
    <tableColumn id="16" xr3:uid="{C6884C63-C99D-4B9C-B971-14453FA61115}" name="Significance" dataDxfId="26"/>
    <tableColumn id="20" xr3:uid="{BF5573E1-601F-45A9-BA06-3256E81AEA63}" name="p-value" dataDxfId="25"/>
    <tableColumn id="19" xr3:uid="{39451C32-AB89-48A8-BF17-A1DA80D4FAC7}" name="Biochar Impact" dataDxfId="24"/>
    <tableColumn id="18" xr3:uid="{5CF381AA-378F-40B6-9796-2635D4675546}" name="Notes" dataDxfId="2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673E07-5F51-48A3-B943-857480AD76D3}" name="Table134" displayName="Table134" ref="A1:T11" totalsRowShown="0">
  <autoFilter ref="A1:T11" xr:uid="{C2CE9140-9291-4724-92B9-6D318979D078}"/>
  <sortState xmlns:xlrd2="http://schemas.microsoft.com/office/spreadsheetml/2017/richdata2" ref="A2:T11">
    <sortCondition ref="J1:J11"/>
  </sortState>
  <tableColumns count="20">
    <tableColumn id="1" xr3:uid="{A38907AA-459A-4F1C-B8AD-4D52D5C51431}" name="Study Type"/>
    <tableColumn id="2" xr3:uid="{CF81ACC7-2A71-42F2-A89A-068786C6FD03}" name="Location"/>
    <tableColumn id="3" xr3:uid="{47CDC115-831B-4E7D-8A71-FBDB6B518800}" name="Biochar Feedstock"/>
    <tableColumn id="4" xr3:uid="{29EFDE0F-9EA9-4BA6-902B-6B9BF7F510CF}" name="Biochar Rate" dataDxfId="22"/>
    <tableColumn id="5" xr3:uid="{72CD5751-A146-4D69-9B1F-2CED4458EC45}" name="Water Retention  "/>
    <tableColumn id="6" xr3:uid="{C7E082CD-DAAE-40FA-A22E-7C31916A1E9B}" name="Saturated Hydraulic Conductivity"/>
    <tableColumn id="18" xr3:uid="{9C78D565-F724-4971-9807-CADE0506D149}" name="Parameter Name"/>
    <tableColumn id="7" xr3:uid="{850A3C3A-089B-4944-B5F6-28CFE3FB3BC8}" name="Reduction/ Removal Efficiency  "/>
    <tableColumn id="8" xr3:uid="{BB7E4C2B-A447-41A3-85D9-C253B62E709D}" name="TSS Reduction (overall)" dataDxfId="21"/>
    <tableColumn id="11" xr3:uid="{7BA4E104-DB28-4FB3-A047-E3BB6A102E9D}" name="Reference"/>
    <tableColumn id="13" xr3:uid="{F993B4DD-3E27-445A-A4CE-5267BF09E285}" name="Iteration"/>
    <tableColumn id="12" xr3:uid="{9114BEF5-99B7-4382-A32F-9AE581B351D9}" name="Value Type"/>
    <tableColumn id="14" xr3:uid="{967F0B42-6BA4-4141-AE8A-87F5DF3AEFB3}" name="Units"/>
    <tableColumn id="10" xr3:uid="{1A9EFCDB-FE87-42D6-B223-B7FE89A71F44}" name="Control"/>
    <tableColumn id="9" xr3:uid="{09E5BCDC-D4BB-41DA-ACE9-E23FEB1CC57A}" name="Biochar"/>
    <tableColumn id="16" xr3:uid="{7CCFF98B-6000-4B68-8122-E254AFC5028A}" name=" Influent (Control)"/>
    <tableColumn id="20" xr3:uid="{C37AEE30-7444-4ABB-B86C-46A349C0F7EB}" name="Significance"/>
    <tableColumn id="21" xr3:uid="{72A51F5A-EBE3-4983-93C4-F98EE8C53B81}" name="p-value"/>
    <tableColumn id="17" xr3:uid="{968666BE-E653-401A-8168-6BC6EE70E1EA}" name="Biochar Impact"/>
    <tableColumn id="15" xr3:uid="{1DBBB696-D665-4ACB-9711-408A9D4E5EDB}" name="Not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22EAA8-312A-482B-8A7C-9B7227D64B2E}" name="Table5" displayName="Table5" ref="A1:S67" totalsRowShown="0" headerRowDxfId="20" dataDxfId="19" tableBorderDxfId="18">
  <autoFilter ref="A1:S67" xr:uid="{8B22EAA8-312A-482B-8A7C-9B7227D64B2E}"/>
  <sortState xmlns:xlrd2="http://schemas.microsoft.com/office/spreadsheetml/2017/richdata2" ref="A2:S67">
    <sortCondition ref="J1:J67"/>
  </sortState>
  <tableColumns count="19">
    <tableColumn id="1" xr3:uid="{9BEA28F6-E959-42DB-A4B8-E87FECC9E184}" name="Study Type" dataDxfId="17"/>
    <tableColumn id="2" xr3:uid="{A989695F-0E09-44E2-A2CB-DE7849F83AE0}" name="Location" dataDxfId="16"/>
    <tableColumn id="3" xr3:uid="{DF02713D-6A7A-4F6F-B0FC-44FA9BD56788}" name="Biochar Feedstock" dataDxfId="15"/>
    <tableColumn id="4" xr3:uid="{335A2A93-0418-43BC-ACD3-659EB1805267}" name="Biochar Rate" dataDxfId="14"/>
    <tableColumn id="5" xr3:uid="{CB0A8EC4-4D85-466E-98F9-72BF1390596B}" name="Water Retention  " dataDxfId="13"/>
    <tableColumn id="6" xr3:uid="{67494A9F-6CF4-4623-A67B-B28636729F59}" name="Saturated Hydraulic Conductivity" dataDxfId="12"/>
    <tableColumn id="9" xr3:uid="{BD198860-8D5C-4955-AAC6-EAB39A8F4F34}" name="N Type" dataDxfId="11"/>
    <tableColumn id="8" xr3:uid="{E532BD99-556E-487B-ABE6-8FE1E83DDFEF}" name="Parameter Name" dataDxfId="10"/>
    <tableColumn id="17" xr3:uid="{BDC36A4D-1EDA-481F-8E81-7ACCA76C55A5}" name="Practice Type"/>
    <tableColumn id="10" xr3:uid="{A8AAC1EF-78AC-456C-8164-5102998B9FF7}" name="Reference" dataDxfId="9"/>
    <tableColumn id="11" xr3:uid="{36D6A6DB-5AD7-4AE6-ABEC-CB30E72ED433}" name="Iteration" dataDxfId="8"/>
    <tableColumn id="12" xr3:uid="{EB9FE4F1-8587-4BE0-9965-BB84830DD7FC}" name="Reported/Calculated" dataDxfId="7"/>
    <tableColumn id="13" xr3:uid="{899C3BA3-7455-4501-8FF9-E44A74B9B73F}" name="Unit" dataDxfId="6"/>
    <tableColumn id="14" xr3:uid="{0EFD672B-EC6C-49C2-8D00-1265B45732A7}" name="Control" dataDxfId="5"/>
    <tableColumn id="15" xr3:uid="{51169107-62FF-4E3E-BF06-0002B57846FB}" name="Biochar" dataDxfId="4"/>
    <tableColumn id="19" xr3:uid="{A4950251-2874-4B6A-8E40-71F5BD2B0F83}" name="Significance" dataDxfId="3"/>
    <tableColumn id="20" xr3:uid="{A910C823-A75B-4A80-9338-DE3B5135C05F}" name="p-value" dataDxfId="2"/>
    <tableColumn id="7" xr3:uid="{00ACB2DF-2356-4CB6-A533-9FD8DC134692}" name="Biochar Impact" dataDxfId="1"/>
    <tableColumn id="16" xr3:uid="{A840ABC6-455A-49CA-8AAB-A1FE9824940D}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EF33-74FE-4678-ADDC-433ABE60F1C6}">
  <dimension ref="A1:A11"/>
  <sheetViews>
    <sheetView tabSelected="1" workbookViewId="0">
      <selection activeCell="A12" sqref="A12"/>
    </sheetView>
  </sheetViews>
  <sheetFormatPr defaultRowHeight="14.4" x14ac:dyDescent="0.3"/>
  <sheetData>
    <row r="1" spans="1:1" x14ac:dyDescent="0.3">
      <c r="A1" t="s">
        <v>492</v>
      </c>
    </row>
    <row r="2" spans="1:1" x14ac:dyDescent="0.3">
      <c r="A2" t="s">
        <v>493</v>
      </c>
    </row>
    <row r="3" spans="1:1" x14ac:dyDescent="0.3">
      <c r="A3" t="s">
        <v>494</v>
      </c>
    </row>
    <row r="4" spans="1:1" x14ac:dyDescent="0.3">
      <c r="A4" t="s">
        <v>495</v>
      </c>
    </row>
    <row r="5" spans="1:1" x14ac:dyDescent="0.3">
      <c r="A5" t="s">
        <v>496</v>
      </c>
    </row>
    <row r="6" spans="1:1" x14ac:dyDescent="0.3">
      <c r="A6" t="s">
        <v>497</v>
      </c>
    </row>
    <row r="8" spans="1:1" x14ac:dyDescent="0.3">
      <c r="A8" t="s">
        <v>498</v>
      </c>
    </row>
    <row r="9" spans="1:1" x14ac:dyDescent="0.3">
      <c r="A9" t="s">
        <v>499</v>
      </c>
    </row>
    <row r="11" spans="1:1" x14ac:dyDescent="0.3">
      <c r="A11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8AE8-1B80-4CCB-9081-7D38649BC78D}">
  <dimension ref="A1:V58"/>
  <sheetViews>
    <sheetView zoomScale="115" zoomScaleNormal="115" workbookViewId="0">
      <selection activeCell="S23" sqref="S23"/>
    </sheetView>
  </sheetViews>
  <sheetFormatPr defaultRowHeight="15" customHeight="1" x14ac:dyDescent="0.3"/>
  <cols>
    <col min="1" max="1" width="14.109375" bestFit="1" customWidth="1"/>
    <col min="2" max="2" width="9.88671875" customWidth="1"/>
    <col min="3" max="3" width="17.88671875" customWidth="1"/>
    <col min="4" max="4" width="13.109375" customWidth="1"/>
    <col min="5" max="5" width="16.44140625" hidden="1" customWidth="1"/>
    <col min="6" max="6" width="28.88671875" hidden="1" customWidth="1"/>
    <col min="7" max="8" width="16.109375" customWidth="1"/>
    <col min="9" max="9" width="22.109375" customWidth="1"/>
    <col min="10" max="10" width="15" bestFit="1" customWidth="1"/>
    <col min="11" max="11" width="12.88671875" bestFit="1" customWidth="1"/>
    <col min="12" max="12" width="12.88671875" customWidth="1"/>
    <col min="13" max="13" width="6.5546875" bestFit="1" customWidth="1"/>
    <col min="14" max="14" width="20.77734375" customWidth="1"/>
    <col min="15" max="15" width="20.5546875" customWidth="1"/>
    <col min="16" max="16" width="15.21875" customWidth="1"/>
    <col min="17" max="17" width="10.33203125" customWidth="1"/>
    <col min="18" max="18" width="18.5546875" customWidth="1"/>
    <col min="19" max="19" width="13.5546875" bestFit="1" customWidth="1"/>
    <col min="20" max="20" width="9.44140625" bestFit="1" customWidth="1"/>
    <col min="21" max="21" width="18.5546875" customWidth="1"/>
    <col min="22" max="22" width="72.109375" customWidth="1"/>
    <col min="24" max="24" width="20.5546875" customWidth="1"/>
  </cols>
  <sheetData>
    <row r="1" spans="1:22" ht="15" customHeight="1" x14ac:dyDescent="0.3">
      <c r="N1" s="71" t="s">
        <v>490</v>
      </c>
      <c r="O1" s="71"/>
      <c r="R1" s="69" t="s">
        <v>488</v>
      </c>
    </row>
    <row r="2" spans="1:22" ht="14.4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11</v>
      </c>
      <c r="I2" t="s">
        <v>7</v>
      </c>
      <c r="J2" t="s">
        <v>8</v>
      </c>
      <c r="K2" t="s">
        <v>9</v>
      </c>
      <c r="L2" t="s">
        <v>10</v>
      </c>
      <c r="M2" t="s">
        <v>12</v>
      </c>
      <c r="N2" t="s">
        <v>13</v>
      </c>
      <c r="O2" t="s">
        <v>14</v>
      </c>
      <c r="P2" t="s">
        <v>15</v>
      </c>
      <c r="Q2" t="s">
        <v>489</v>
      </c>
      <c r="R2" t="s">
        <v>16</v>
      </c>
      <c r="S2" s="5" t="s">
        <v>17</v>
      </c>
      <c r="T2" s="5" t="s">
        <v>18</v>
      </c>
      <c r="U2" t="s">
        <v>19</v>
      </c>
      <c r="V2" t="s">
        <v>20</v>
      </c>
    </row>
    <row r="3" spans="1:22" s="38" customFormat="1" ht="14.4" x14ac:dyDescent="0.3">
      <c r="A3" s="38" t="s">
        <v>21</v>
      </c>
      <c r="B3" s="38" t="s">
        <v>22</v>
      </c>
      <c r="C3" s="38" t="s">
        <v>23</v>
      </c>
      <c r="D3" s="37" t="s">
        <v>24</v>
      </c>
      <c r="E3" s="38" t="s">
        <v>25</v>
      </c>
      <c r="F3" s="38" t="s">
        <v>26</v>
      </c>
      <c r="G3" s="37" t="s">
        <v>25</v>
      </c>
      <c r="H3" s="37"/>
      <c r="I3" s="38" t="s">
        <v>27</v>
      </c>
      <c r="J3" s="38" t="s">
        <v>28</v>
      </c>
      <c r="K3" s="38" t="s">
        <v>29</v>
      </c>
      <c r="M3" s="38" t="s">
        <v>31</v>
      </c>
      <c r="N3" s="41" t="s">
        <v>32</v>
      </c>
      <c r="O3" s="41" t="s">
        <v>33</v>
      </c>
      <c r="P3" s="62">
        <f t="shared" ref="P3:P9" si="0">1-(0.07-0.04)/0.18</f>
        <v>0.83333333333333326</v>
      </c>
      <c r="Q3" s="41">
        <f t="shared" ref="Q3:Q34" si="1">(1.55-0.7)/1.5</f>
        <v>0.56666666666666676</v>
      </c>
      <c r="R3" s="41" t="s">
        <v>25</v>
      </c>
      <c r="S3" s="41"/>
      <c r="T3" s="41"/>
      <c r="U3" s="38" t="s">
        <v>34</v>
      </c>
      <c r="V3" s="38" t="s">
        <v>35</v>
      </c>
    </row>
    <row r="4" spans="1:22" s="38" customFormat="1" ht="14.4" x14ac:dyDescent="0.3">
      <c r="A4" s="38" t="s">
        <v>21</v>
      </c>
      <c r="B4" s="38" t="s">
        <v>22</v>
      </c>
      <c r="C4" s="38" t="s">
        <v>23</v>
      </c>
      <c r="D4" s="37" t="s">
        <v>24</v>
      </c>
      <c r="E4" s="38" t="s">
        <v>25</v>
      </c>
      <c r="F4" s="38" t="s">
        <v>26</v>
      </c>
      <c r="G4" s="37" t="s">
        <v>25</v>
      </c>
      <c r="H4" s="37"/>
      <c r="I4" s="38" t="s">
        <v>27</v>
      </c>
      <c r="J4" s="38" t="s">
        <v>36</v>
      </c>
      <c r="K4" s="38" t="s">
        <v>29</v>
      </c>
      <c r="M4" s="38" t="s">
        <v>31</v>
      </c>
      <c r="N4" s="42" t="s">
        <v>37</v>
      </c>
      <c r="O4" s="41" t="s">
        <v>38</v>
      </c>
      <c r="P4" s="62">
        <f t="shared" si="0"/>
        <v>0.83333333333333326</v>
      </c>
      <c r="Q4" s="41">
        <f t="shared" si="1"/>
        <v>0.56666666666666676</v>
      </c>
      <c r="R4" s="41" t="s">
        <v>25</v>
      </c>
      <c r="S4" s="41"/>
      <c r="T4" s="41"/>
      <c r="U4" s="38" t="s">
        <v>34</v>
      </c>
      <c r="V4" s="43" t="s">
        <v>39</v>
      </c>
    </row>
    <row r="5" spans="1:22" s="38" customFormat="1" ht="14.4" x14ac:dyDescent="0.3">
      <c r="A5" s="38" t="s">
        <v>21</v>
      </c>
      <c r="B5" s="38" t="s">
        <v>22</v>
      </c>
      <c r="C5" s="38" t="s">
        <v>23</v>
      </c>
      <c r="D5" s="37" t="s">
        <v>24</v>
      </c>
      <c r="E5" s="38" t="s">
        <v>25</v>
      </c>
      <c r="F5" s="38" t="s">
        <v>26</v>
      </c>
      <c r="G5" s="37" t="s">
        <v>25</v>
      </c>
      <c r="H5" s="37"/>
      <c r="I5" s="38" t="s">
        <v>27</v>
      </c>
      <c r="J5" s="38" t="s">
        <v>28</v>
      </c>
      <c r="K5" s="38" t="s">
        <v>29</v>
      </c>
      <c r="M5" s="38" t="s">
        <v>31</v>
      </c>
      <c r="N5" s="42" t="s">
        <v>40</v>
      </c>
      <c r="O5" s="41" t="s">
        <v>41</v>
      </c>
      <c r="P5" s="62">
        <f t="shared" si="0"/>
        <v>0.83333333333333326</v>
      </c>
      <c r="Q5" s="41">
        <f t="shared" si="1"/>
        <v>0.56666666666666676</v>
      </c>
      <c r="R5" s="41" t="s">
        <v>25</v>
      </c>
      <c r="S5" s="41"/>
      <c r="T5" s="41"/>
      <c r="U5" s="38" t="s">
        <v>34</v>
      </c>
      <c r="V5" s="43" t="s">
        <v>35</v>
      </c>
    </row>
    <row r="6" spans="1:22" s="38" customFormat="1" ht="14.4" x14ac:dyDescent="0.3">
      <c r="A6" s="38" t="s">
        <v>21</v>
      </c>
      <c r="B6" s="38" t="s">
        <v>22</v>
      </c>
      <c r="C6" s="38" t="s">
        <v>23</v>
      </c>
      <c r="D6" s="37" t="s">
        <v>24</v>
      </c>
      <c r="E6" s="38" t="s">
        <v>25</v>
      </c>
      <c r="F6" s="38" t="s">
        <v>26</v>
      </c>
      <c r="G6" s="37" t="s">
        <v>25</v>
      </c>
      <c r="H6" s="37"/>
      <c r="I6" s="38" t="s">
        <v>27</v>
      </c>
      <c r="J6" s="38" t="s">
        <v>36</v>
      </c>
      <c r="K6" s="38" t="s">
        <v>42</v>
      </c>
      <c r="M6" s="38" t="s">
        <v>31</v>
      </c>
      <c r="N6" s="41" t="s">
        <v>43</v>
      </c>
      <c r="O6" s="41" t="s">
        <v>44</v>
      </c>
      <c r="P6" s="62">
        <f t="shared" si="0"/>
        <v>0.83333333333333326</v>
      </c>
      <c r="Q6" s="41">
        <f t="shared" si="1"/>
        <v>0.56666666666666676</v>
      </c>
      <c r="R6" s="41" t="s">
        <v>25</v>
      </c>
      <c r="S6" s="41"/>
      <c r="T6" s="41"/>
      <c r="U6" s="38" t="s">
        <v>34</v>
      </c>
      <c r="V6" s="38" t="s">
        <v>39</v>
      </c>
    </row>
    <row r="7" spans="1:22" s="38" customFormat="1" ht="14.4" x14ac:dyDescent="0.3">
      <c r="A7" s="38" t="s">
        <v>21</v>
      </c>
      <c r="B7" s="38" t="s">
        <v>22</v>
      </c>
      <c r="C7" s="38" t="s">
        <v>23</v>
      </c>
      <c r="D7" s="37" t="s">
        <v>24</v>
      </c>
      <c r="E7" s="38" t="s">
        <v>25</v>
      </c>
      <c r="F7" s="38" t="s">
        <v>26</v>
      </c>
      <c r="G7" s="37" t="s">
        <v>45</v>
      </c>
      <c r="H7" s="37"/>
      <c r="I7" s="38" t="s">
        <v>27</v>
      </c>
      <c r="J7" s="38" t="s">
        <v>46</v>
      </c>
      <c r="K7" s="38" t="s">
        <v>29</v>
      </c>
      <c r="M7" s="38" t="s">
        <v>25</v>
      </c>
      <c r="N7" s="41" t="s">
        <v>25</v>
      </c>
      <c r="O7" s="41" t="s">
        <v>25</v>
      </c>
      <c r="P7" s="62">
        <f t="shared" si="0"/>
        <v>0.83333333333333326</v>
      </c>
      <c r="Q7" s="41">
        <f t="shared" si="1"/>
        <v>0.56666666666666676</v>
      </c>
      <c r="R7" s="41" t="s">
        <v>25</v>
      </c>
      <c r="S7" s="41"/>
      <c r="T7" s="41"/>
      <c r="U7" s="38" t="s">
        <v>47</v>
      </c>
      <c r="V7" s="38" t="s">
        <v>48</v>
      </c>
    </row>
    <row r="8" spans="1:22" s="38" customFormat="1" ht="14.4" x14ac:dyDescent="0.3">
      <c r="A8" s="38" t="s">
        <v>21</v>
      </c>
      <c r="B8" s="38" t="s">
        <v>22</v>
      </c>
      <c r="C8" s="38" t="s">
        <v>23</v>
      </c>
      <c r="D8" s="37" t="s">
        <v>24</v>
      </c>
      <c r="E8" s="38" t="s">
        <v>25</v>
      </c>
      <c r="F8" s="38" t="s">
        <v>26</v>
      </c>
      <c r="G8" s="37" t="s">
        <v>49</v>
      </c>
      <c r="H8" s="37"/>
      <c r="I8" s="38" t="s">
        <v>27</v>
      </c>
      <c r="J8" s="38" t="s">
        <v>46</v>
      </c>
      <c r="K8" s="38" t="s">
        <v>29</v>
      </c>
      <c r="M8" s="38" t="s">
        <v>25</v>
      </c>
      <c r="N8" s="41" t="s">
        <v>25</v>
      </c>
      <c r="O8" s="41" t="s">
        <v>25</v>
      </c>
      <c r="P8" s="62">
        <f t="shared" si="0"/>
        <v>0.83333333333333326</v>
      </c>
      <c r="Q8" s="41">
        <f t="shared" si="1"/>
        <v>0.56666666666666676</v>
      </c>
      <c r="R8" s="41" t="s">
        <v>25</v>
      </c>
      <c r="S8" s="41"/>
      <c r="T8" s="41"/>
      <c r="U8" s="38" t="s">
        <v>50</v>
      </c>
    </row>
    <row r="9" spans="1:22" s="38" customFormat="1" ht="14.4" x14ac:dyDescent="0.3">
      <c r="A9" s="38" t="s">
        <v>21</v>
      </c>
      <c r="B9" s="38" t="s">
        <v>22</v>
      </c>
      <c r="C9" s="38" t="s">
        <v>23</v>
      </c>
      <c r="D9" s="37" t="s">
        <v>24</v>
      </c>
      <c r="E9" s="38" t="s">
        <v>25</v>
      </c>
      <c r="F9" s="38" t="s">
        <v>26</v>
      </c>
      <c r="G9" s="37" t="s">
        <v>51</v>
      </c>
      <c r="H9" s="37"/>
      <c r="I9" s="38" t="s">
        <v>27</v>
      </c>
      <c r="J9" s="38" t="s">
        <v>46</v>
      </c>
      <c r="K9" s="38" t="s">
        <v>29</v>
      </c>
      <c r="M9" s="38" t="s">
        <v>25</v>
      </c>
      <c r="N9" s="41" t="s">
        <v>25</v>
      </c>
      <c r="O9" s="41" t="s">
        <v>25</v>
      </c>
      <c r="P9" s="62">
        <f t="shared" si="0"/>
        <v>0.83333333333333326</v>
      </c>
      <c r="Q9" s="41">
        <f t="shared" si="1"/>
        <v>0.56666666666666676</v>
      </c>
      <c r="R9" s="41" t="s">
        <v>25</v>
      </c>
      <c r="S9" s="41"/>
      <c r="T9" s="41"/>
      <c r="U9" s="38" t="s">
        <v>50</v>
      </c>
    </row>
    <row r="10" spans="1:22" ht="14.4" x14ac:dyDescent="0.3">
      <c r="A10" t="s">
        <v>52</v>
      </c>
      <c r="B10" t="s">
        <v>53</v>
      </c>
      <c r="C10" t="s">
        <v>54</v>
      </c>
      <c r="D10" s="7" t="s">
        <v>55</v>
      </c>
      <c r="E10" t="s">
        <v>25</v>
      </c>
      <c r="F10" t="s">
        <v>25</v>
      </c>
      <c r="G10" s="7" t="s">
        <v>56</v>
      </c>
      <c r="H10" t="s">
        <v>30</v>
      </c>
      <c r="I10" t="s">
        <v>57</v>
      </c>
      <c r="J10" t="s">
        <v>58</v>
      </c>
      <c r="K10" t="s">
        <v>42</v>
      </c>
      <c r="L10" t="s">
        <v>59</v>
      </c>
      <c r="M10" t="s">
        <v>60</v>
      </c>
      <c r="N10" s="8" t="s">
        <v>61</v>
      </c>
      <c r="O10" s="8" t="s">
        <v>62</v>
      </c>
      <c r="P10" s="66">
        <f>(0.07-0.04)/0.18</f>
        <v>0.16666666666666671</v>
      </c>
      <c r="Q10" s="66">
        <f>1-(0.04/0.18)</f>
        <v>0.77777777777777779</v>
      </c>
      <c r="R10" s="8" t="s">
        <v>63</v>
      </c>
      <c r="S10" s="8" t="s">
        <v>64</v>
      </c>
      <c r="T10" s="8" t="s">
        <v>65</v>
      </c>
      <c r="U10" t="s">
        <v>34</v>
      </c>
      <c r="V10" t="s">
        <v>66</v>
      </c>
    </row>
    <row r="11" spans="1:22" ht="14.4" x14ac:dyDescent="0.3">
      <c r="A11" t="s">
        <v>52</v>
      </c>
      <c r="B11" t="s">
        <v>53</v>
      </c>
      <c r="C11" t="s">
        <v>54</v>
      </c>
      <c r="D11" s="7" t="s">
        <v>55</v>
      </c>
      <c r="E11" t="s">
        <v>25</v>
      </c>
      <c r="F11" t="s">
        <v>25</v>
      </c>
      <c r="G11" s="7" t="s">
        <v>67</v>
      </c>
      <c r="H11" t="s">
        <v>30</v>
      </c>
      <c r="I11" t="s">
        <v>57</v>
      </c>
      <c r="J11" t="s">
        <v>68</v>
      </c>
      <c r="K11" t="s">
        <v>42</v>
      </c>
      <c r="L11" t="s">
        <v>59</v>
      </c>
      <c r="M11" t="s">
        <v>60</v>
      </c>
      <c r="N11" s="8" t="s">
        <v>69</v>
      </c>
      <c r="O11" s="8" t="s">
        <v>70</v>
      </c>
      <c r="P11" s="66">
        <f>(0.06-0.03)/0.18</f>
        <v>0.16666666666666666</v>
      </c>
      <c r="Q11" s="66">
        <f>1-(0.03/0.18)</f>
        <v>0.83333333333333337</v>
      </c>
      <c r="R11" s="8" t="s">
        <v>63</v>
      </c>
      <c r="S11" s="8" t="s">
        <v>71</v>
      </c>
      <c r="T11" s="8" t="s">
        <v>72</v>
      </c>
      <c r="U11" t="s">
        <v>34</v>
      </c>
      <c r="V11" t="s">
        <v>66</v>
      </c>
    </row>
    <row r="12" spans="1:22" ht="14.4" x14ac:dyDescent="0.3">
      <c r="A12" t="s">
        <v>52</v>
      </c>
      <c r="B12" t="s">
        <v>53</v>
      </c>
      <c r="C12" t="s">
        <v>54</v>
      </c>
      <c r="D12" s="7" t="s">
        <v>55</v>
      </c>
      <c r="E12" t="s">
        <v>25</v>
      </c>
      <c r="F12" t="s">
        <v>25</v>
      </c>
      <c r="G12" s="7" t="s">
        <v>73</v>
      </c>
      <c r="H12" t="s">
        <v>30</v>
      </c>
      <c r="I12" t="s">
        <v>57</v>
      </c>
      <c r="J12" t="s">
        <v>58</v>
      </c>
      <c r="K12" t="s">
        <v>42</v>
      </c>
      <c r="L12" t="s">
        <v>74</v>
      </c>
      <c r="M12" t="s">
        <v>60</v>
      </c>
      <c r="N12" s="8" t="s">
        <v>75</v>
      </c>
      <c r="O12" s="8" t="s">
        <v>76</v>
      </c>
      <c r="P12" s="66">
        <f>(0.73-0.5)/0.38</f>
        <v>0.60526315789473684</v>
      </c>
      <c r="Q12" s="66">
        <f>1-(0.5/0.38)</f>
        <v>-0.31578947368421062</v>
      </c>
      <c r="R12" s="8" t="s">
        <v>77</v>
      </c>
      <c r="S12" s="8" t="s">
        <v>78</v>
      </c>
      <c r="T12" s="8" t="s">
        <v>72</v>
      </c>
      <c r="U12" t="s">
        <v>34</v>
      </c>
      <c r="V12" t="s">
        <v>79</v>
      </c>
    </row>
    <row r="13" spans="1:22" ht="14.4" x14ac:dyDescent="0.3">
      <c r="A13" t="s">
        <v>52</v>
      </c>
      <c r="B13" t="s">
        <v>53</v>
      </c>
      <c r="C13" t="s">
        <v>54</v>
      </c>
      <c r="D13" s="7" t="s">
        <v>80</v>
      </c>
      <c r="E13" t="s">
        <v>25</v>
      </c>
      <c r="F13" t="s">
        <v>25</v>
      </c>
      <c r="G13" s="6">
        <v>0.04</v>
      </c>
      <c r="H13" t="s">
        <v>30</v>
      </c>
      <c r="I13" t="s">
        <v>57</v>
      </c>
      <c r="J13" t="s">
        <v>68</v>
      </c>
      <c r="K13" t="s">
        <v>42</v>
      </c>
      <c r="L13" t="s">
        <v>59</v>
      </c>
      <c r="M13" t="s">
        <v>60</v>
      </c>
      <c r="N13" s="8" t="s">
        <v>69</v>
      </c>
      <c r="O13" s="8" t="s">
        <v>81</v>
      </c>
      <c r="P13" s="60"/>
      <c r="Q13" s="8">
        <f t="shared" si="1"/>
        <v>0.56666666666666676</v>
      </c>
      <c r="R13" s="8" t="s">
        <v>63</v>
      </c>
      <c r="S13" s="8" t="s">
        <v>82</v>
      </c>
      <c r="T13" s="30" t="s">
        <v>25</v>
      </c>
      <c r="U13" t="s">
        <v>47</v>
      </c>
      <c r="V13" t="s">
        <v>83</v>
      </c>
    </row>
    <row r="14" spans="1:22" ht="14.4" x14ac:dyDescent="0.3">
      <c r="A14" t="s">
        <v>52</v>
      </c>
      <c r="B14" t="s">
        <v>53</v>
      </c>
      <c r="C14" t="s">
        <v>54</v>
      </c>
      <c r="D14" s="7" t="s">
        <v>84</v>
      </c>
      <c r="E14" t="s">
        <v>85</v>
      </c>
      <c r="F14" t="s">
        <v>86</v>
      </c>
      <c r="G14" s="7" t="s">
        <v>87</v>
      </c>
      <c r="H14" t="s">
        <v>30</v>
      </c>
      <c r="I14" t="s">
        <v>57</v>
      </c>
      <c r="J14" t="s">
        <v>46</v>
      </c>
      <c r="K14" t="s">
        <v>29</v>
      </c>
      <c r="L14" t="s">
        <v>59</v>
      </c>
      <c r="M14" s="18" t="s">
        <v>25</v>
      </c>
      <c r="N14" s="30" t="s">
        <v>25</v>
      </c>
      <c r="O14" s="30" t="s">
        <v>25</v>
      </c>
      <c r="P14" s="63"/>
      <c r="Q14" s="30">
        <f t="shared" si="1"/>
        <v>0.56666666666666676</v>
      </c>
      <c r="R14" s="30" t="s">
        <v>25</v>
      </c>
      <c r="S14" s="30" t="s">
        <v>25</v>
      </c>
      <c r="T14" s="30" t="s">
        <v>25</v>
      </c>
      <c r="U14" s="18" t="s">
        <v>50</v>
      </c>
    </row>
    <row r="15" spans="1:22" ht="14.4" x14ac:dyDescent="0.3">
      <c r="A15" t="s">
        <v>52</v>
      </c>
      <c r="B15" t="s">
        <v>53</v>
      </c>
      <c r="C15" t="s">
        <v>54</v>
      </c>
      <c r="D15" s="7" t="s">
        <v>80</v>
      </c>
      <c r="E15" t="s">
        <v>25</v>
      </c>
      <c r="F15" t="s">
        <v>25</v>
      </c>
      <c r="G15" s="6">
        <v>0.3</v>
      </c>
      <c r="H15" t="s">
        <v>30</v>
      </c>
      <c r="I15" t="s">
        <v>57</v>
      </c>
      <c r="J15" t="s">
        <v>68</v>
      </c>
      <c r="K15" t="s">
        <v>42</v>
      </c>
      <c r="L15" t="s">
        <v>74</v>
      </c>
      <c r="M15" t="s">
        <v>60</v>
      </c>
      <c r="N15" s="8" t="s">
        <v>88</v>
      </c>
      <c r="O15" s="8" t="s">
        <v>89</v>
      </c>
      <c r="P15" s="60"/>
      <c r="Q15" s="8">
        <f t="shared" si="1"/>
        <v>0.56666666666666676</v>
      </c>
      <c r="R15" s="8" t="s">
        <v>77</v>
      </c>
      <c r="S15" s="8" t="s">
        <v>90</v>
      </c>
      <c r="T15" s="30" t="s">
        <v>25</v>
      </c>
      <c r="U15" t="s">
        <v>47</v>
      </c>
      <c r="V15" s="32" t="s">
        <v>91</v>
      </c>
    </row>
    <row r="16" spans="1:22" ht="14.4" x14ac:dyDescent="0.3">
      <c r="A16" t="s">
        <v>52</v>
      </c>
      <c r="B16" t="s">
        <v>53</v>
      </c>
      <c r="C16" t="s">
        <v>54</v>
      </c>
      <c r="D16" s="7" t="s">
        <v>55</v>
      </c>
      <c r="E16" t="s">
        <v>25</v>
      </c>
      <c r="F16" t="s">
        <v>25</v>
      </c>
      <c r="G16" s="7" t="s">
        <v>92</v>
      </c>
      <c r="H16" t="s">
        <v>30</v>
      </c>
      <c r="I16" t="s">
        <v>57</v>
      </c>
      <c r="J16" t="s">
        <v>68</v>
      </c>
      <c r="K16" t="s">
        <v>42</v>
      </c>
      <c r="L16" t="s">
        <v>74</v>
      </c>
      <c r="M16" t="s">
        <v>60</v>
      </c>
      <c r="N16" s="8" t="s">
        <v>88</v>
      </c>
      <c r="O16" s="8" t="s">
        <v>93</v>
      </c>
      <c r="P16" s="66">
        <f>(0.29-0.1)/0.38</f>
        <v>0.49999999999999994</v>
      </c>
      <c r="Q16" s="66">
        <f>1-(0.1/0.38)</f>
        <v>0.73684210526315796</v>
      </c>
      <c r="R16" s="8" t="s">
        <v>77</v>
      </c>
      <c r="S16" s="8" t="s">
        <v>94</v>
      </c>
      <c r="T16" s="8" t="s">
        <v>95</v>
      </c>
      <c r="U16" t="s">
        <v>50</v>
      </c>
      <c r="V16" t="s">
        <v>79</v>
      </c>
    </row>
    <row r="17" spans="1:22" ht="14.4" x14ac:dyDescent="0.3">
      <c r="A17" t="s">
        <v>52</v>
      </c>
      <c r="B17" t="s">
        <v>53</v>
      </c>
      <c r="C17" t="s">
        <v>54</v>
      </c>
      <c r="D17" s="7" t="s">
        <v>84</v>
      </c>
      <c r="E17" t="s">
        <v>96</v>
      </c>
      <c r="F17" t="s">
        <v>97</v>
      </c>
      <c r="G17" s="7" t="s">
        <v>98</v>
      </c>
      <c r="H17" t="s">
        <v>30</v>
      </c>
      <c r="I17" t="s">
        <v>57</v>
      </c>
      <c r="J17" t="s">
        <v>46</v>
      </c>
      <c r="K17" t="s">
        <v>29</v>
      </c>
      <c r="L17" t="s">
        <v>74</v>
      </c>
      <c r="M17" s="18" t="s">
        <v>25</v>
      </c>
      <c r="N17" s="30" t="s">
        <v>25</v>
      </c>
      <c r="O17" s="30" t="s">
        <v>25</v>
      </c>
      <c r="P17" s="63"/>
      <c r="Q17" s="30">
        <f t="shared" si="1"/>
        <v>0.56666666666666676</v>
      </c>
      <c r="R17" s="30" t="s">
        <v>25</v>
      </c>
      <c r="S17" s="30" t="s">
        <v>25</v>
      </c>
      <c r="T17" s="30" t="s">
        <v>25</v>
      </c>
      <c r="U17" s="18" t="s">
        <v>50</v>
      </c>
    </row>
    <row r="18" spans="1:22" s="38" customFormat="1" ht="14.4" x14ac:dyDescent="0.3">
      <c r="A18" s="38" t="s">
        <v>99</v>
      </c>
      <c r="B18" s="38" t="s">
        <v>22</v>
      </c>
      <c r="C18" s="38" t="s">
        <v>100</v>
      </c>
      <c r="D18" s="37" t="s">
        <v>101</v>
      </c>
      <c r="E18" s="38" t="s">
        <v>25</v>
      </c>
      <c r="F18" s="38" t="s">
        <v>25</v>
      </c>
      <c r="G18" s="44">
        <v>0.99</v>
      </c>
      <c r="H18" s="38" t="s">
        <v>30</v>
      </c>
      <c r="I18" s="38" t="s">
        <v>102</v>
      </c>
      <c r="J18" s="38" t="s">
        <v>46</v>
      </c>
      <c r="K18" s="38" t="s">
        <v>29</v>
      </c>
      <c r="L18" s="38" t="s">
        <v>103</v>
      </c>
      <c r="M18" s="43" t="s">
        <v>25</v>
      </c>
      <c r="N18" s="45" t="s">
        <v>25</v>
      </c>
      <c r="O18" s="45" t="s">
        <v>25</v>
      </c>
      <c r="P18" s="64"/>
      <c r="Q18" s="45">
        <f t="shared" si="1"/>
        <v>0.56666666666666676</v>
      </c>
      <c r="R18" s="45" t="s">
        <v>25</v>
      </c>
      <c r="S18" s="45"/>
      <c r="T18" s="45"/>
      <c r="U18" s="38" t="s">
        <v>50</v>
      </c>
    </row>
    <row r="19" spans="1:22" ht="14.4" x14ac:dyDescent="0.3">
      <c r="A19" t="s">
        <v>21</v>
      </c>
      <c r="B19" t="s">
        <v>22</v>
      </c>
      <c r="C19" t="s">
        <v>104</v>
      </c>
      <c r="D19" s="7" t="s">
        <v>105</v>
      </c>
      <c r="E19" t="s">
        <v>25</v>
      </c>
      <c r="F19" t="s">
        <v>106</v>
      </c>
      <c r="G19" s="10" t="s">
        <v>107</v>
      </c>
      <c r="H19" t="s">
        <v>30</v>
      </c>
      <c r="I19" t="s">
        <v>108</v>
      </c>
      <c r="J19" t="s">
        <v>46</v>
      </c>
      <c r="K19" t="s">
        <v>42</v>
      </c>
      <c r="L19" t="s">
        <v>59</v>
      </c>
      <c r="M19" s="18" t="s">
        <v>25</v>
      </c>
      <c r="N19" s="30" t="s">
        <v>25</v>
      </c>
      <c r="O19" s="30" t="s">
        <v>25</v>
      </c>
      <c r="P19" s="63"/>
      <c r="Q19" s="30">
        <f t="shared" si="1"/>
        <v>0.56666666666666676</v>
      </c>
      <c r="R19" s="30" t="s">
        <v>25</v>
      </c>
      <c r="S19" s="30" t="s">
        <v>25</v>
      </c>
      <c r="T19" s="30" t="s">
        <v>25</v>
      </c>
      <c r="U19" t="s">
        <v>50</v>
      </c>
      <c r="V19" t="s">
        <v>109</v>
      </c>
    </row>
    <row r="20" spans="1:22" ht="14.4" x14ac:dyDescent="0.3">
      <c r="A20" t="s">
        <v>110</v>
      </c>
      <c r="B20" t="s">
        <v>111</v>
      </c>
      <c r="C20" t="s">
        <v>112</v>
      </c>
      <c r="D20" s="7" t="s">
        <v>113</v>
      </c>
      <c r="E20" t="s">
        <v>114</v>
      </c>
      <c r="F20" t="s">
        <v>25</v>
      </c>
      <c r="G20" s="6">
        <v>-0.64</v>
      </c>
      <c r="H20" t="s">
        <v>30</v>
      </c>
      <c r="I20" t="s">
        <v>115</v>
      </c>
      <c r="J20" t="s">
        <v>46</v>
      </c>
      <c r="K20" t="s">
        <v>42</v>
      </c>
      <c r="L20" t="s">
        <v>74</v>
      </c>
      <c r="M20" t="s">
        <v>116</v>
      </c>
      <c r="N20" s="8" t="s">
        <v>117</v>
      </c>
      <c r="O20" s="8" t="s">
        <v>118</v>
      </c>
      <c r="P20" s="66">
        <f>(45-23)/10</f>
        <v>2.2000000000000002</v>
      </c>
      <c r="Q20" s="66">
        <f>1-(23/10)</f>
        <v>-1.2999999999999998</v>
      </c>
      <c r="R20" s="8" t="s">
        <v>119</v>
      </c>
      <c r="S20" s="8" t="s">
        <v>120</v>
      </c>
      <c r="T20" s="8" t="s">
        <v>121</v>
      </c>
      <c r="U20" t="s">
        <v>34</v>
      </c>
      <c r="V20" s="32" t="s">
        <v>122</v>
      </c>
    </row>
    <row r="21" spans="1:22" ht="14.4" x14ac:dyDescent="0.3">
      <c r="A21" t="s">
        <v>21</v>
      </c>
      <c r="B21" t="s">
        <v>123</v>
      </c>
      <c r="C21" t="s">
        <v>124</v>
      </c>
      <c r="D21" s="6" t="s">
        <v>24</v>
      </c>
      <c r="E21" t="s">
        <v>25</v>
      </c>
      <c r="F21" t="s">
        <v>25</v>
      </c>
      <c r="G21" s="7" t="s">
        <v>25</v>
      </c>
      <c r="H21" t="s">
        <v>128</v>
      </c>
      <c r="I21" t="s">
        <v>125</v>
      </c>
      <c r="J21" t="s">
        <v>126</v>
      </c>
      <c r="K21" t="s">
        <v>29</v>
      </c>
      <c r="L21" t="s">
        <v>127</v>
      </c>
      <c r="M21" s="29" t="s">
        <v>129</v>
      </c>
      <c r="N21" s="31" t="s">
        <v>130</v>
      </c>
      <c r="O21" s="31" t="s">
        <v>131</v>
      </c>
      <c r="P21" s="67">
        <f>(8.6-16.4)/77</f>
        <v>-0.10129870129870129</v>
      </c>
      <c r="Q21" s="67">
        <f>1-(16.4/77)</f>
        <v>0.78701298701298705</v>
      </c>
      <c r="R21" s="31" t="s">
        <v>132</v>
      </c>
      <c r="S21" s="8" t="s">
        <v>133</v>
      </c>
      <c r="T21" s="8" t="s">
        <v>72</v>
      </c>
      <c r="U21" t="s">
        <v>34</v>
      </c>
    </row>
    <row r="22" spans="1:22" ht="14.4" x14ac:dyDescent="0.3">
      <c r="A22" t="s">
        <v>21</v>
      </c>
      <c r="B22" t="s">
        <v>123</v>
      </c>
      <c r="C22" t="s">
        <v>124</v>
      </c>
      <c r="D22" s="6" t="s">
        <v>134</v>
      </c>
      <c r="E22" t="s">
        <v>25</v>
      </c>
      <c r="F22" t="s">
        <v>25</v>
      </c>
      <c r="G22" s="7" t="s">
        <v>25</v>
      </c>
      <c r="H22" t="s">
        <v>128</v>
      </c>
      <c r="I22" t="s">
        <v>125</v>
      </c>
      <c r="J22" t="s">
        <v>135</v>
      </c>
      <c r="K22" t="s">
        <v>29</v>
      </c>
      <c r="L22" t="s">
        <v>127</v>
      </c>
      <c r="M22" s="29" t="s">
        <v>129</v>
      </c>
      <c r="N22" s="31" t="s">
        <v>130</v>
      </c>
      <c r="O22" s="31" t="s">
        <v>136</v>
      </c>
      <c r="P22" s="67">
        <f>(8.6-10.7)/76</f>
        <v>-2.7631578947368417E-2</v>
      </c>
      <c r="Q22" s="67">
        <f>1-(10.7/76)</f>
        <v>0.85921052631578942</v>
      </c>
      <c r="R22" s="31" t="s">
        <v>137</v>
      </c>
      <c r="S22" s="8" t="s">
        <v>133</v>
      </c>
      <c r="T22" s="8" t="s">
        <v>72</v>
      </c>
      <c r="U22" t="s">
        <v>34</v>
      </c>
    </row>
    <row r="23" spans="1:22" ht="14.4" x14ac:dyDescent="0.3">
      <c r="A23" t="s">
        <v>21</v>
      </c>
      <c r="B23" t="s">
        <v>123</v>
      </c>
      <c r="C23" t="s">
        <v>124</v>
      </c>
      <c r="D23" s="6" t="s">
        <v>134</v>
      </c>
      <c r="E23" t="s">
        <v>25</v>
      </c>
      <c r="F23" t="s">
        <v>25</v>
      </c>
      <c r="G23" s="9" t="s">
        <v>25</v>
      </c>
      <c r="H23" t="s">
        <v>128</v>
      </c>
      <c r="I23" t="s">
        <v>125</v>
      </c>
      <c r="J23" t="s">
        <v>135</v>
      </c>
      <c r="K23" t="s">
        <v>29</v>
      </c>
      <c r="L23" t="s">
        <v>103</v>
      </c>
      <c r="M23" s="29" t="s">
        <v>129</v>
      </c>
      <c r="N23" s="31" t="s">
        <v>138</v>
      </c>
      <c r="O23" s="31" t="s">
        <v>139</v>
      </c>
      <c r="P23" s="61"/>
      <c r="Q23" s="31">
        <f t="shared" si="1"/>
        <v>0.56666666666666676</v>
      </c>
      <c r="R23" s="31" t="s">
        <v>140</v>
      </c>
      <c r="S23" s="8" t="s">
        <v>141</v>
      </c>
      <c r="T23" s="8" t="s">
        <v>25</v>
      </c>
      <c r="U23" t="s">
        <v>47</v>
      </c>
    </row>
    <row r="24" spans="1:22" ht="14.4" x14ac:dyDescent="0.3">
      <c r="A24" t="s">
        <v>21</v>
      </c>
      <c r="B24" t="s">
        <v>123</v>
      </c>
      <c r="C24" t="s">
        <v>124</v>
      </c>
      <c r="D24" s="6" t="s">
        <v>24</v>
      </c>
      <c r="E24" t="s">
        <v>25</v>
      </c>
      <c r="F24" t="s">
        <v>25</v>
      </c>
      <c r="G24" s="9" t="s">
        <v>25</v>
      </c>
      <c r="H24" t="s">
        <v>128</v>
      </c>
      <c r="I24" t="s">
        <v>125</v>
      </c>
      <c r="J24" t="s">
        <v>126</v>
      </c>
      <c r="K24" t="s">
        <v>29</v>
      </c>
      <c r="L24" t="s">
        <v>103</v>
      </c>
      <c r="M24" t="s">
        <v>129</v>
      </c>
      <c r="N24" s="8" t="s">
        <v>138</v>
      </c>
      <c r="O24" s="8" t="s">
        <v>142</v>
      </c>
      <c r="P24" s="60"/>
      <c r="Q24" s="8">
        <f t="shared" si="1"/>
        <v>0.56666666666666676</v>
      </c>
      <c r="R24" s="8" t="s">
        <v>143</v>
      </c>
      <c r="S24" s="8" t="s">
        <v>141</v>
      </c>
      <c r="T24" s="8" t="s">
        <v>25</v>
      </c>
      <c r="U24" t="s">
        <v>47</v>
      </c>
    </row>
    <row r="25" spans="1:22" ht="14.4" x14ac:dyDescent="0.3">
      <c r="A25" t="s">
        <v>21</v>
      </c>
      <c r="B25" t="s">
        <v>123</v>
      </c>
      <c r="C25" t="s">
        <v>124</v>
      </c>
      <c r="D25" s="6" t="s">
        <v>144</v>
      </c>
      <c r="E25" t="s">
        <v>25</v>
      </c>
      <c r="F25" t="s">
        <v>25</v>
      </c>
      <c r="G25" s="9">
        <v>1.4999999999999999E-2</v>
      </c>
      <c r="H25" t="s">
        <v>30</v>
      </c>
      <c r="I25" t="s">
        <v>125</v>
      </c>
      <c r="J25" t="s">
        <v>46</v>
      </c>
      <c r="K25" t="s">
        <v>29</v>
      </c>
      <c r="L25" t="s">
        <v>103</v>
      </c>
      <c r="M25" t="s">
        <v>25</v>
      </c>
      <c r="N25" s="8" t="s">
        <v>25</v>
      </c>
      <c r="O25" s="8" t="s">
        <v>25</v>
      </c>
      <c r="P25" s="60"/>
      <c r="Q25" s="8">
        <f t="shared" si="1"/>
        <v>0.56666666666666676</v>
      </c>
      <c r="R25" s="8" t="s">
        <v>25</v>
      </c>
      <c r="S25" s="8" t="s">
        <v>25</v>
      </c>
      <c r="T25" s="8" t="s">
        <v>25</v>
      </c>
      <c r="U25" t="s">
        <v>47</v>
      </c>
    </row>
    <row r="26" spans="1:22" ht="14.4" x14ac:dyDescent="0.3">
      <c r="A26" t="s">
        <v>21</v>
      </c>
      <c r="B26" t="s">
        <v>123</v>
      </c>
      <c r="C26" t="s">
        <v>124</v>
      </c>
      <c r="D26" s="7" t="s">
        <v>145</v>
      </c>
      <c r="E26" t="s">
        <v>25</v>
      </c>
      <c r="F26" t="s">
        <v>25</v>
      </c>
      <c r="G26" s="7" t="s">
        <v>146</v>
      </c>
      <c r="H26" t="s">
        <v>30</v>
      </c>
      <c r="I26" t="s">
        <v>125</v>
      </c>
      <c r="J26" t="s">
        <v>46</v>
      </c>
      <c r="K26" t="s">
        <v>29</v>
      </c>
      <c r="L26" t="s">
        <v>127</v>
      </c>
      <c r="M26" t="s">
        <v>25</v>
      </c>
      <c r="N26" s="8" t="s">
        <v>25</v>
      </c>
      <c r="O26" s="8" t="s">
        <v>25</v>
      </c>
      <c r="P26" s="60"/>
      <c r="Q26" s="8">
        <f t="shared" si="1"/>
        <v>0.56666666666666676</v>
      </c>
      <c r="R26" s="8" t="s">
        <v>25</v>
      </c>
      <c r="S26" s="8" t="s">
        <v>25</v>
      </c>
      <c r="T26" s="8" t="s">
        <v>25</v>
      </c>
      <c r="U26" t="s">
        <v>50</v>
      </c>
    </row>
    <row r="27" spans="1:22" ht="14.4" x14ac:dyDescent="0.3">
      <c r="A27" t="s">
        <v>21</v>
      </c>
      <c r="B27" t="s">
        <v>22</v>
      </c>
      <c r="C27" t="s">
        <v>23</v>
      </c>
      <c r="D27" s="7" t="s">
        <v>24</v>
      </c>
      <c r="E27" t="s">
        <v>25</v>
      </c>
      <c r="F27" s="1">
        <v>-0.32</v>
      </c>
      <c r="G27" s="7" t="s">
        <v>147</v>
      </c>
      <c r="H27" t="s">
        <v>30</v>
      </c>
      <c r="I27" t="s">
        <v>148</v>
      </c>
      <c r="J27" t="s">
        <v>149</v>
      </c>
      <c r="K27" t="s">
        <v>29</v>
      </c>
      <c r="L27" t="s">
        <v>74</v>
      </c>
      <c r="M27" s="18" t="s">
        <v>25</v>
      </c>
      <c r="N27" s="30" t="s">
        <v>25</v>
      </c>
      <c r="O27" s="30" t="s">
        <v>25</v>
      </c>
      <c r="P27" s="63"/>
      <c r="Q27" s="30">
        <f t="shared" si="1"/>
        <v>0.56666666666666676</v>
      </c>
      <c r="R27" s="30" t="s">
        <v>25</v>
      </c>
      <c r="S27" s="30" t="s">
        <v>25</v>
      </c>
      <c r="T27" s="30" t="s">
        <v>25</v>
      </c>
      <c r="U27" t="s">
        <v>50</v>
      </c>
      <c r="V27" t="s">
        <v>150</v>
      </c>
    </row>
    <row r="28" spans="1:22" ht="14.4" x14ac:dyDescent="0.3">
      <c r="A28" t="s">
        <v>21</v>
      </c>
      <c r="B28" t="s">
        <v>151</v>
      </c>
      <c r="C28" t="s">
        <v>23</v>
      </c>
      <c r="D28" s="7" t="s">
        <v>24</v>
      </c>
      <c r="E28" t="s">
        <v>152</v>
      </c>
      <c r="F28" t="s">
        <v>25</v>
      </c>
      <c r="G28" s="26" t="s">
        <v>25</v>
      </c>
      <c r="H28" t="s">
        <v>128</v>
      </c>
      <c r="I28" t="s">
        <v>153</v>
      </c>
      <c r="J28" t="s">
        <v>154</v>
      </c>
      <c r="K28" t="s">
        <v>29</v>
      </c>
      <c r="L28" t="s">
        <v>155</v>
      </c>
      <c r="M28" t="s">
        <v>129</v>
      </c>
      <c r="N28" s="8" t="s">
        <v>156</v>
      </c>
      <c r="O28" s="8" t="s">
        <v>157</v>
      </c>
      <c r="P28" s="60"/>
      <c r="Q28" s="8">
        <f t="shared" si="1"/>
        <v>0.56666666666666676</v>
      </c>
      <c r="R28" s="8" t="s">
        <v>158</v>
      </c>
      <c r="S28" s="8" t="s">
        <v>159</v>
      </c>
      <c r="T28" s="8" t="s">
        <v>160</v>
      </c>
      <c r="U28" t="s">
        <v>47</v>
      </c>
    </row>
    <row r="29" spans="1:22" ht="14.4" x14ac:dyDescent="0.3">
      <c r="A29" t="s">
        <v>21</v>
      </c>
      <c r="B29" t="s">
        <v>151</v>
      </c>
      <c r="C29" t="s">
        <v>23</v>
      </c>
      <c r="D29" s="7" t="s">
        <v>24</v>
      </c>
      <c r="E29" t="s">
        <v>152</v>
      </c>
      <c r="F29" t="s">
        <v>25</v>
      </c>
      <c r="G29" s="26" t="s">
        <v>25</v>
      </c>
      <c r="H29" t="s">
        <v>128</v>
      </c>
      <c r="I29" t="s">
        <v>153</v>
      </c>
      <c r="J29" t="s">
        <v>161</v>
      </c>
      <c r="K29" t="s">
        <v>29</v>
      </c>
      <c r="L29" t="s">
        <v>155</v>
      </c>
      <c r="M29" t="s">
        <v>129</v>
      </c>
      <c r="N29" s="8" t="s">
        <v>156</v>
      </c>
      <c r="O29" s="8" t="s">
        <v>162</v>
      </c>
      <c r="P29" s="60"/>
      <c r="Q29" s="8">
        <f t="shared" si="1"/>
        <v>0.56666666666666676</v>
      </c>
      <c r="R29" s="8" t="s">
        <v>158</v>
      </c>
      <c r="S29" s="8" t="s">
        <v>159</v>
      </c>
      <c r="T29" s="8" t="s">
        <v>160</v>
      </c>
      <c r="U29" t="s">
        <v>47</v>
      </c>
    </row>
    <row r="30" spans="1:22" ht="14.4" x14ac:dyDescent="0.3">
      <c r="A30" t="s">
        <v>21</v>
      </c>
      <c r="B30" t="s">
        <v>151</v>
      </c>
      <c r="C30" t="s">
        <v>23</v>
      </c>
      <c r="D30" s="7" t="s">
        <v>24</v>
      </c>
      <c r="E30" t="s">
        <v>152</v>
      </c>
      <c r="F30" t="s">
        <v>25</v>
      </c>
      <c r="G30" s="26" t="s">
        <v>25</v>
      </c>
      <c r="H30" t="s">
        <v>128</v>
      </c>
      <c r="I30" t="s">
        <v>153</v>
      </c>
      <c r="J30" t="s">
        <v>154</v>
      </c>
      <c r="K30" t="s">
        <v>29</v>
      </c>
      <c r="L30" t="s">
        <v>163</v>
      </c>
      <c r="M30" s="29" t="s">
        <v>129</v>
      </c>
      <c r="N30" s="31" t="s">
        <v>164</v>
      </c>
      <c r="O30" s="31" t="s">
        <v>165</v>
      </c>
      <c r="P30" s="67">
        <f>(6.72-0.17)/1</f>
        <v>6.55</v>
      </c>
      <c r="Q30" s="67">
        <f>1-(0.17/1)</f>
        <v>0.83</v>
      </c>
      <c r="R30" s="31" t="s">
        <v>166</v>
      </c>
      <c r="S30" s="8" t="s">
        <v>167</v>
      </c>
      <c r="T30" s="8" t="s">
        <v>72</v>
      </c>
      <c r="U30" t="s">
        <v>34</v>
      </c>
    </row>
    <row r="31" spans="1:22" ht="14.4" x14ac:dyDescent="0.3">
      <c r="A31" t="s">
        <v>21</v>
      </c>
      <c r="B31" t="s">
        <v>151</v>
      </c>
      <c r="C31" t="s">
        <v>23</v>
      </c>
      <c r="D31" s="7" t="s">
        <v>24</v>
      </c>
      <c r="E31" t="s">
        <v>152</v>
      </c>
      <c r="F31" t="s">
        <v>25</v>
      </c>
      <c r="G31" s="17" t="s">
        <v>25</v>
      </c>
      <c r="H31" t="s">
        <v>128</v>
      </c>
      <c r="I31" t="s">
        <v>153</v>
      </c>
      <c r="J31" t="s">
        <v>161</v>
      </c>
      <c r="K31" t="s">
        <v>29</v>
      </c>
      <c r="L31" t="s">
        <v>163</v>
      </c>
      <c r="M31" t="s">
        <v>129</v>
      </c>
      <c r="N31" s="8" t="s">
        <v>164</v>
      </c>
      <c r="O31" s="8" t="s">
        <v>168</v>
      </c>
      <c r="P31" s="66">
        <f>(6.72-0.075)/1</f>
        <v>6.6449999999999996</v>
      </c>
      <c r="Q31" s="66">
        <f>1-(0.075/1)</f>
        <v>0.92500000000000004</v>
      </c>
      <c r="R31" s="8" t="s">
        <v>166</v>
      </c>
      <c r="S31" s="8" t="s">
        <v>167</v>
      </c>
      <c r="T31" s="8" t="s">
        <v>72</v>
      </c>
      <c r="U31" t="s">
        <v>34</v>
      </c>
    </row>
    <row r="32" spans="1:22" ht="14.4" x14ac:dyDescent="0.3">
      <c r="A32" t="s">
        <v>21</v>
      </c>
      <c r="B32" t="s">
        <v>151</v>
      </c>
      <c r="C32" t="s">
        <v>23</v>
      </c>
      <c r="D32" s="7" t="s">
        <v>24</v>
      </c>
      <c r="E32" t="s">
        <v>152</v>
      </c>
      <c r="F32" t="s">
        <v>25</v>
      </c>
      <c r="G32" s="17" t="s">
        <v>25</v>
      </c>
      <c r="H32" t="s">
        <v>128</v>
      </c>
      <c r="I32" t="s">
        <v>153</v>
      </c>
      <c r="J32" t="s">
        <v>154</v>
      </c>
      <c r="K32" t="s">
        <v>29</v>
      </c>
      <c r="L32" t="s">
        <v>74</v>
      </c>
      <c r="M32" t="s">
        <v>129</v>
      </c>
      <c r="N32" s="8" t="s">
        <v>169</v>
      </c>
      <c r="O32" s="8" t="s">
        <v>170</v>
      </c>
      <c r="P32" s="60"/>
      <c r="Q32" s="8">
        <f t="shared" si="1"/>
        <v>0.56666666666666676</v>
      </c>
      <c r="R32" s="8" t="s">
        <v>171</v>
      </c>
      <c r="S32" s="8" t="s">
        <v>159</v>
      </c>
      <c r="T32" s="8" t="s">
        <v>160</v>
      </c>
      <c r="U32" t="s">
        <v>47</v>
      </c>
    </row>
    <row r="33" spans="1:22" ht="14.4" x14ac:dyDescent="0.3">
      <c r="A33" t="s">
        <v>21</v>
      </c>
      <c r="B33" t="s">
        <v>151</v>
      </c>
      <c r="C33" t="s">
        <v>23</v>
      </c>
      <c r="D33" s="7" t="s">
        <v>24</v>
      </c>
      <c r="E33" t="s">
        <v>152</v>
      </c>
      <c r="F33" t="s">
        <v>25</v>
      </c>
      <c r="G33" s="26" t="s">
        <v>25</v>
      </c>
      <c r="H33" t="s">
        <v>128</v>
      </c>
      <c r="I33" t="s">
        <v>153</v>
      </c>
      <c r="J33" t="s">
        <v>161</v>
      </c>
      <c r="K33" t="s">
        <v>29</v>
      </c>
      <c r="L33" t="s">
        <v>74</v>
      </c>
      <c r="M33" s="29" t="s">
        <v>129</v>
      </c>
      <c r="N33" s="31" t="s">
        <v>169</v>
      </c>
      <c r="O33" s="31" t="s">
        <v>172</v>
      </c>
      <c r="P33" s="61"/>
      <c r="Q33" s="31">
        <f t="shared" si="1"/>
        <v>0.56666666666666676</v>
      </c>
      <c r="R33" s="31" t="s">
        <v>171</v>
      </c>
      <c r="S33" s="8" t="s">
        <v>159</v>
      </c>
      <c r="T33" s="8" t="s">
        <v>160</v>
      </c>
      <c r="U33" t="s">
        <v>47</v>
      </c>
    </row>
    <row r="34" spans="1:22" ht="14.4" x14ac:dyDescent="0.3">
      <c r="A34" t="s">
        <v>21</v>
      </c>
      <c r="B34" t="s">
        <v>151</v>
      </c>
      <c r="C34" t="s">
        <v>23</v>
      </c>
      <c r="D34" s="7" t="s">
        <v>24</v>
      </c>
      <c r="E34" t="s">
        <v>152</v>
      </c>
      <c r="F34" t="s">
        <v>25</v>
      </c>
      <c r="G34" s="17" t="s">
        <v>25</v>
      </c>
      <c r="H34" t="s">
        <v>128</v>
      </c>
      <c r="I34" t="s">
        <v>153</v>
      </c>
      <c r="J34" t="s">
        <v>154</v>
      </c>
      <c r="K34" t="s">
        <v>29</v>
      </c>
      <c r="L34" t="s">
        <v>173</v>
      </c>
      <c r="M34" t="s">
        <v>129</v>
      </c>
      <c r="N34" s="8" t="s">
        <v>174</v>
      </c>
      <c r="O34" s="8" t="s">
        <v>175</v>
      </c>
      <c r="P34" s="60"/>
      <c r="Q34" s="8">
        <f t="shared" si="1"/>
        <v>0.56666666666666676</v>
      </c>
      <c r="R34" s="8" t="s">
        <v>176</v>
      </c>
      <c r="S34" s="8" t="s">
        <v>159</v>
      </c>
      <c r="T34" s="8" t="s">
        <v>160</v>
      </c>
      <c r="U34" t="s">
        <v>47</v>
      </c>
    </row>
    <row r="35" spans="1:22" ht="14.4" x14ac:dyDescent="0.3">
      <c r="A35" t="s">
        <v>21</v>
      </c>
      <c r="B35" t="s">
        <v>151</v>
      </c>
      <c r="C35" t="s">
        <v>23</v>
      </c>
      <c r="D35" s="7" t="s">
        <v>24</v>
      </c>
      <c r="E35" t="s">
        <v>152</v>
      </c>
      <c r="F35" t="s">
        <v>25</v>
      </c>
      <c r="G35" s="17" t="s">
        <v>25</v>
      </c>
      <c r="H35" t="s">
        <v>128</v>
      </c>
      <c r="I35" t="s">
        <v>153</v>
      </c>
      <c r="J35" t="s">
        <v>161</v>
      </c>
      <c r="K35" t="s">
        <v>29</v>
      </c>
      <c r="L35" t="s">
        <v>173</v>
      </c>
      <c r="M35" t="s">
        <v>129</v>
      </c>
      <c r="N35" s="8" t="s">
        <v>174</v>
      </c>
      <c r="O35" s="8" t="s">
        <v>177</v>
      </c>
      <c r="P35" s="60"/>
      <c r="Q35" s="8">
        <f t="shared" ref="Q35:Q53" si="2">(1.55-0.7)/1.5</f>
        <v>0.56666666666666676</v>
      </c>
      <c r="R35" s="8" t="s">
        <v>176</v>
      </c>
      <c r="S35" s="8" t="s">
        <v>159</v>
      </c>
      <c r="T35" s="8" t="s">
        <v>160</v>
      </c>
      <c r="U35" t="s">
        <v>47</v>
      </c>
    </row>
    <row r="36" spans="1:22" ht="14.4" x14ac:dyDescent="0.3">
      <c r="A36" t="s">
        <v>21</v>
      </c>
      <c r="B36" t="s">
        <v>151</v>
      </c>
      <c r="C36" t="s">
        <v>23</v>
      </c>
      <c r="D36" s="7" t="s">
        <v>24</v>
      </c>
      <c r="E36" t="s">
        <v>152</v>
      </c>
      <c r="F36" t="s">
        <v>25</v>
      </c>
      <c r="G36" s="35" t="s">
        <v>178</v>
      </c>
      <c r="H36" t="s">
        <v>30</v>
      </c>
      <c r="I36" t="s">
        <v>153</v>
      </c>
      <c r="J36" t="s">
        <v>46</v>
      </c>
      <c r="K36" t="s">
        <v>29</v>
      </c>
      <c r="L36" t="s">
        <v>173</v>
      </c>
      <c r="M36" s="15" t="s">
        <v>25</v>
      </c>
      <c r="N36" s="22" t="s">
        <v>25</v>
      </c>
      <c r="O36" s="22" t="s">
        <v>25</v>
      </c>
      <c r="P36" s="65"/>
      <c r="Q36" s="22">
        <f t="shared" si="2"/>
        <v>0.56666666666666676</v>
      </c>
      <c r="R36" s="22" t="s">
        <v>25</v>
      </c>
      <c r="S36" s="22" t="s">
        <v>25</v>
      </c>
      <c r="T36" s="22" t="s">
        <v>25</v>
      </c>
      <c r="U36" s="18" t="s">
        <v>179</v>
      </c>
    </row>
    <row r="37" spans="1:22" ht="14.4" x14ac:dyDescent="0.3">
      <c r="A37" t="s">
        <v>21</v>
      </c>
      <c r="B37" t="s">
        <v>151</v>
      </c>
      <c r="C37" t="s">
        <v>23</v>
      </c>
      <c r="D37" s="7" t="s">
        <v>24</v>
      </c>
      <c r="E37" t="s">
        <v>152</v>
      </c>
      <c r="F37" t="s">
        <v>25</v>
      </c>
      <c r="G37" s="33" t="s">
        <v>180</v>
      </c>
      <c r="H37" t="s">
        <v>30</v>
      </c>
      <c r="I37" t="s">
        <v>153</v>
      </c>
      <c r="J37" t="s">
        <v>46</v>
      </c>
      <c r="K37" t="s">
        <v>29</v>
      </c>
      <c r="L37" t="s">
        <v>155</v>
      </c>
      <c r="M37" s="18" t="s">
        <v>25</v>
      </c>
      <c r="N37" s="30" t="s">
        <v>25</v>
      </c>
      <c r="O37" s="30" t="s">
        <v>25</v>
      </c>
      <c r="P37" s="63"/>
      <c r="Q37" s="30">
        <f t="shared" si="2"/>
        <v>0.56666666666666676</v>
      </c>
      <c r="R37" s="30" t="s">
        <v>25</v>
      </c>
      <c r="S37" s="30" t="s">
        <v>25</v>
      </c>
      <c r="T37" s="30" t="s">
        <v>25</v>
      </c>
      <c r="U37" s="18" t="s">
        <v>50</v>
      </c>
    </row>
    <row r="38" spans="1:22" ht="14.4" x14ac:dyDescent="0.3">
      <c r="A38" t="s">
        <v>21</v>
      </c>
      <c r="B38" t="s">
        <v>151</v>
      </c>
      <c r="C38" t="s">
        <v>23</v>
      </c>
      <c r="D38" s="7" t="s">
        <v>24</v>
      </c>
      <c r="E38" t="s">
        <v>152</v>
      </c>
      <c r="F38" t="s">
        <v>25</v>
      </c>
      <c r="G38" s="33">
        <v>0.99</v>
      </c>
      <c r="H38" t="s">
        <v>30</v>
      </c>
      <c r="I38" t="s">
        <v>153</v>
      </c>
      <c r="J38" t="s">
        <v>46</v>
      </c>
      <c r="K38" t="s">
        <v>29</v>
      </c>
      <c r="L38" t="s">
        <v>163</v>
      </c>
      <c r="M38" s="18" t="s">
        <v>25</v>
      </c>
      <c r="N38" s="30" t="s">
        <v>25</v>
      </c>
      <c r="O38" s="30" t="s">
        <v>25</v>
      </c>
      <c r="P38" s="63"/>
      <c r="Q38" s="30">
        <f t="shared" si="2"/>
        <v>0.56666666666666676</v>
      </c>
      <c r="R38" s="30" t="s">
        <v>25</v>
      </c>
      <c r="S38" s="30" t="s">
        <v>25</v>
      </c>
      <c r="T38" s="30" t="s">
        <v>25</v>
      </c>
      <c r="U38" s="18" t="s">
        <v>50</v>
      </c>
    </row>
    <row r="39" spans="1:22" ht="14.4" x14ac:dyDescent="0.3">
      <c r="A39" t="s">
        <v>21</v>
      </c>
      <c r="B39" t="s">
        <v>151</v>
      </c>
      <c r="C39" t="s">
        <v>23</v>
      </c>
      <c r="D39" s="7" t="s">
        <v>24</v>
      </c>
      <c r="E39" t="s">
        <v>152</v>
      </c>
      <c r="F39" t="s">
        <v>25</v>
      </c>
      <c r="G39" s="9" t="s">
        <v>181</v>
      </c>
      <c r="H39" t="s">
        <v>30</v>
      </c>
      <c r="I39" t="s">
        <v>153</v>
      </c>
      <c r="J39" t="s">
        <v>46</v>
      </c>
      <c r="K39" t="s">
        <v>29</v>
      </c>
      <c r="L39" t="s">
        <v>74</v>
      </c>
      <c r="M39" s="15" t="s">
        <v>25</v>
      </c>
      <c r="N39" s="22" t="s">
        <v>25</v>
      </c>
      <c r="O39" s="22" t="s">
        <v>25</v>
      </c>
      <c r="P39" s="65"/>
      <c r="Q39" s="22">
        <f t="shared" si="2"/>
        <v>0.56666666666666676</v>
      </c>
      <c r="R39" s="22" t="s">
        <v>25</v>
      </c>
      <c r="S39" s="22" t="s">
        <v>25</v>
      </c>
      <c r="T39" s="22" t="s">
        <v>25</v>
      </c>
      <c r="U39" s="18" t="s">
        <v>50</v>
      </c>
    </row>
    <row r="40" spans="1:22" s="38" customFormat="1" ht="14.4" x14ac:dyDescent="0.3">
      <c r="A40" s="38" t="s">
        <v>182</v>
      </c>
      <c r="B40" s="38" t="s">
        <v>183</v>
      </c>
      <c r="C40" s="38" t="s">
        <v>184</v>
      </c>
      <c r="D40" s="44">
        <v>1</v>
      </c>
      <c r="E40" s="38" t="s">
        <v>25</v>
      </c>
      <c r="F40" s="38" t="s">
        <v>25</v>
      </c>
      <c r="G40" s="54" t="s">
        <v>185</v>
      </c>
      <c r="H40" s="38" t="s">
        <v>30</v>
      </c>
      <c r="I40" s="38" t="s">
        <v>186</v>
      </c>
      <c r="J40" s="38" t="s">
        <v>187</v>
      </c>
      <c r="K40" s="38" t="s">
        <v>29</v>
      </c>
      <c r="L40" s="38" t="s">
        <v>103</v>
      </c>
      <c r="M40" s="38" t="s">
        <v>116</v>
      </c>
      <c r="N40" s="45" t="s">
        <v>25</v>
      </c>
      <c r="O40" s="41" t="s">
        <v>188</v>
      </c>
      <c r="P40" s="62"/>
      <c r="Q40" s="41">
        <f t="shared" si="2"/>
        <v>0.56666666666666676</v>
      </c>
      <c r="R40" s="41" t="s">
        <v>189</v>
      </c>
      <c r="S40" s="55" t="s">
        <v>25</v>
      </c>
      <c r="T40" s="55" t="s">
        <v>25</v>
      </c>
      <c r="U40" s="38" t="s">
        <v>34</v>
      </c>
      <c r="V40" s="38" t="s">
        <v>190</v>
      </c>
    </row>
    <row r="41" spans="1:22" s="38" customFormat="1" ht="14.4" x14ac:dyDescent="0.3">
      <c r="A41" s="38" t="s">
        <v>182</v>
      </c>
      <c r="B41" s="38" t="s">
        <v>183</v>
      </c>
      <c r="C41" s="38" t="s">
        <v>184</v>
      </c>
      <c r="D41" s="44">
        <v>1</v>
      </c>
      <c r="E41" s="38" t="s">
        <v>25</v>
      </c>
      <c r="F41" s="38" t="s">
        <v>25</v>
      </c>
      <c r="G41" s="56">
        <f>(27-4)/27</f>
        <v>0.85185185185185186</v>
      </c>
      <c r="H41" s="38" t="s">
        <v>30</v>
      </c>
      <c r="I41" s="38" t="s">
        <v>186</v>
      </c>
      <c r="J41" s="38" t="s">
        <v>191</v>
      </c>
      <c r="K41" s="38" t="s">
        <v>29</v>
      </c>
      <c r="L41" s="38" t="s">
        <v>103</v>
      </c>
      <c r="M41" s="38" t="s">
        <v>116</v>
      </c>
      <c r="N41" s="45" t="s">
        <v>25</v>
      </c>
      <c r="O41" s="41" t="s">
        <v>192</v>
      </c>
      <c r="P41" s="62"/>
      <c r="Q41" s="41">
        <f t="shared" si="2"/>
        <v>0.56666666666666676</v>
      </c>
      <c r="R41" s="41" t="s">
        <v>193</v>
      </c>
      <c r="S41" s="55" t="s">
        <v>25</v>
      </c>
      <c r="T41" s="55" t="s">
        <v>25</v>
      </c>
      <c r="U41" s="38" t="s">
        <v>50</v>
      </c>
      <c r="V41" s="38" t="s">
        <v>194</v>
      </c>
    </row>
    <row r="42" spans="1:22" ht="14.4" x14ac:dyDescent="0.3">
      <c r="A42" t="s">
        <v>182</v>
      </c>
      <c r="B42" t="s">
        <v>183</v>
      </c>
      <c r="C42" t="s">
        <v>184</v>
      </c>
      <c r="D42" s="6">
        <v>1</v>
      </c>
      <c r="E42" t="s">
        <v>25</v>
      </c>
      <c r="F42" t="s">
        <v>25</v>
      </c>
      <c r="G42" s="6">
        <v>0.86</v>
      </c>
      <c r="H42" t="s">
        <v>30</v>
      </c>
      <c r="I42" t="s">
        <v>186</v>
      </c>
      <c r="J42" t="s">
        <v>46</v>
      </c>
      <c r="K42" t="s">
        <v>29</v>
      </c>
      <c r="L42" t="s">
        <v>103</v>
      </c>
      <c r="M42" s="15" t="s">
        <v>25</v>
      </c>
      <c r="N42" s="22" t="s">
        <v>25</v>
      </c>
      <c r="O42" s="22" t="s">
        <v>25</v>
      </c>
      <c r="P42" s="65"/>
      <c r="Q42" s="22">
        <f t="shared" si="2"/>
        <v>0.56666666666666676</v>
      </c>
      <c r="R42" s="22" t="s">
        <v>25</v>
      </c>
      <c r="S42" s="22" t="s">
        <v>25</v>
      </c>
      <c r="T42" s="22" t="s">
        <v>25</v>
      </c>
      <c r="U42" s="18" t="s">
        <v>50</v>
      </c>
    </row>
    <row r="43" spans="1:22" ht="14.4" x14ac:dyDescent="0.3">
      <c r="A43" t="s">
        <v>21</v>
      </c>
      <c r="B43" t="s">
        <v>53</v>
      </c>
      <c r="C43" t="s">
        <v>195</v>
      </c>
      <c r="D43" s="7" t="s">
        <v>196</v>
      </c>
      <c r="E43" t="s">
        <v>25</v>
      </c>
      <c r="F43" t="s">
        <v>25</v>
      </c>
      <c r="G43" s="33">
        <v>0.96399999999999997</v>
      </c>
      <c r="H43" t="s">
        <v>30</v>
      </c>
      <c r="I43" t="s">
        <v>197</v>
      </c>
      <c r="J43" t="s">
        <v>46</v>
      </c>
      <c r="K43" t="s">
        <v>29</v>
      </c>
      <c r="L43" t="s">
        <v>198</v>
      </c>
      <c r="M43" s="18" t="s">
        <v>25</v>
      </c>
      <c r="N43" s="22" t="s">
        <v>25</v>
      </c>
      <c r="O43" s="30" t="s">
        <v>25</v>
      </c>
      <c r="P43" s="63"/>
      <c r="Q43" s="30">
        <f t="shared" si="2"/>
        <v>0.56666666666666676</v>
      </c>
      <c r="R43" s="30" t="s">
        <v>25</v>
      </c>
      <c r="S43" s="30" t="s">
        <v>25</v>
      </c>
      <c r="T43" s="30" t="s">
        <v>25</v>
      </c>
      <c r="U43" t="s">
        <v>50</v>
      </c>
    </row>
    <row r="44" spans="1:22" ht="14.4" x14ac:dyDescent="0.3">
      <c r="A44" t="s">
        <v>110</v>
      </c>
      <c r="B44" t="s">
        <v>53</v>
      </c>
      <c r="C44" t="s">
        <v>23</v>
      </c>
      <c r="D44" s="6" t="s">
        <v>55</v>
      </c>
      <c r="E44" t="s">
        <v>25</v>
      </c>
      <c r="F44" t="s">
        <v>25</v>
      </c>
      <c r="G44" s="27" t="s">
        <v>25</v>
      </c>
      <c r="H44" t="s">
        <v>128</v>
      </c>
      <c r="I44" t="s">
        <v>199</v>
      </c>
      <c r="J44" t="s">
        <v>200</v>
      </c>
      <c r="K44" t="s">
        <v>29</v>
      </c>
      <c r="L44" t="s">
        <v>103</v>
      </c>
      <c r="M44" t="s">
        <v>201</v>
      </c>
      <c r="N44" s="31">
        <f>17.8-2.89</f>
        <v>14.91</v>
      </c>
      <c r="O44" s="8">
        <f>17.8-12.73</f>
        <v>5.07</v>
      </c>
      <c r="P44" s="66">
        <f>(N46-O46)/1.2</f>
        <v>0.47500000000000009</v>
      </c>
      <c r="Q44" s="66">
        <f>1-(12.73/17.8)</f>
        <v>0.28483146067415732</v>
      </c>
      <c r="R44" s="8" t="s">
        <v>202</v>
      </c>
      <c r="S44" s="8" t="s">
        <v>203</v>
      </c>
      <c r="T44" s="30" t="s">
        <v>25</v>
      </c>
      <c r="U44" t="s">
        <v>34</v>
      </c>
      <c r="V44" t="s">
        <v>491</v>
      </c>
    </row>
    <row r="45" spans="1:22" ht="14.4" x14ac:dyDescent="0.3">
      <c r="A45" t="s">
        <v>110</v>
      </c>
      <c r="B45" t="s">
        <v>53</v>
      </c>
      <c r="C45" t="s">
        <v>23</v>
      </c>
      <c r="D45" s="6" t="s">
        <v>55</v>
      </c>
      <c r="E45" t="s">
        <v>25</v>
      </c>
      <c r="F45" t="s">
        <v>25</v>
      </c>
      <c r="G45" s="7" t="s">
        <v>25</v>
      </c>
      <c r="H45" t="s">
        <v>128</v>
      </c>
      <c r="I45" t="s">
        <v>199</v>
      </c>
      <c r="J45" t="s">
        <v>205</v>
      </c>
      <c r="K45" t="s">
        <v>29</v>
      </c>
      <c r="L45" t="s">
        <v>103</v>
      </c>
      <c r="M45" s="29" t="s">
        <v>201</v>
      </c>
      <c r="N45" s="31" t="s">
        <v>206</v>
      </c>
      <c r="O45" s="31" t="s">
        <v>207</v>
      </c>
      <c r="P45" s="61"/>
      <c r="Q45" s="31">
        <f t="shared" si="2"/>
        <v>0.56666666666666676</v>
      </c>
      <c r="R45" s="31" t="s">
        <v>208</v>
      </c>
      <c r="S45" s="8" t="s">
        <v>209</v>
      </c>
      <c r="T45" s="30" t="s">
        <v>25</v>
      </c>
      <c r="U45" t="s">
        <v>47</v>
      </c>
      <c r="V45" t="s">
        <v>204</v>
      </c>
    </row>
    <row r="46" spans="1:22" ht="14.4" x14ac:dyDescent="0.3">
      <c r="A46" t="s">
        <v>110</v>
      </c>
      <c r="B46" t="s">
        <v>53</v>
      </c>
      <c r="C46" t="s">
        <v>23</v>
      </c>
      <c r="D46" s="6" t="s">
        <v>55</v>
      </c>
      <c r="E46" t="s">
        <v>25</v>
      </c>
      <c r="F46" t="s">
        <v>25</v>
      </c>
      <c r="G46" s="7" t="s">
        <v>25</v>
      </c>
      <c r="H46" t="s">
        <v>128</v>
      </c>
      <c r="I46" t="s">
        <v>199</v>
      </c>
      <c r="J46" t="s">
        <v>210</v>
      </c>
      <c r="K46" t="s">
        <v>29</v>
      </c>
      <c r="L46" t="s">
        <v>103</v>
      </c>
      <c r="M46" t="s">
        <v>201</v>
      </c>
      <c r="N46" s="8">
        <f>1.29-0.5</f>
        <v>0.79</v>
      </c>
      <c r="O46" s="8">
        <f>1.29-1.07</f>
        <v>0.21999999999999997</v>
      </c>
      <c r="P46" s="66">
        <f>(Table1[[#This Row],[Control]]-Table1[[#This Row],[Biochar]])/1.29</f>
        <v>0.44186046511627913</v>
      </c>
      <c r="Q46" s="66">
        <f>1-(1.07/1.29)</f>
        <v>0.1705426356589147</v>
      </c>
      <c r="R46" s="8" t="s">
        <v>211</v>
      </c>
      <c r="S46" s="8" t="s">
        <v>203</v>
      </c>
      <c r="T46" s="30" t="s">
        <v>25</v>
      </c>
      <c r="U46" t="s">
        <v>34</v>
      </c>
      <c r="V46" t="s">
        <v>491</v>
      </c>
    </row>
    <row r="47" spans="1:22" ht="14.4" x14ac:dyDescent="0.3">
      <c r="A47" t="s">
        <v>110</v>
      </c>
      <c r="B47" t="s">
        <v>53</v>
      </c>
      <c r="C47" t="s">
        <v>23</v>
      </c>
      <c r="D47" s="6" t="s">
        <v>55</v>
      </c>
      <c r="E47" t="s">
        <v>25</v>
      </c>
      <c r="F47" t="s">
        <v>25</v>
      </c>
      <c r="G47" s="7" t="s">
        <v>25</v>
      </c>
      <c r="H47" t="s">
        <v>128</v>
      </c>
      <c r="I47" t="s">
        <v>199</v>
      </c>
      <c r="J47" t="s">
        <v>212</v>
      </c>
      <c r="K47" t="s">
        <v>29</v>
      </c>
      <c r="L47" t="s">
        <v>103</v>
      </c>
      <c r="M47" t="s">
        <v>201</v>
      </c>
      <c r="N47" s="70">
        <f>1.97+0.12</f>
        <v>2.09</v>
      </c>
      <c r="O47" s="8">
        <f>1.97-0.6</f>
        <v>1.37</v>
      </c>
      <c r="P47" s="66">
        <f>(Table1[[#This Row],[Control]]-Table1[[#This Row],[Biochar]])/1.97</f>
        <v>0.36548223350253795</v>
      </c>
      <c r="Q47" s="66">
        <f>1-(0.6/1.97)</f>
        <v>0.69543147208121825</v>
      </c>
      <c r="R47" s="8" t="s">
        <v>213</v>
      </c>
      <c r="S47" s="8" t="s">
        <v>203</v>
      </c>
      <c r="T47" s="30" t="s">
        <v>25</v>
      </c>
      <c r="U47" t="s">
        <v>34</v>
      </c>
      <c r="V47" t="s">
        <v>491</v>
      </c>
    </row>
    <row r="48" spans="1:22" ht="14.4" x14ac:dyDescent="0.3">
      <c r="A48" t="s">
        <v>110</v>
      </c>
      <c r="B48" t="s">
        <v>53</v>
      </c>
      <c r="C48" t="s">
        <v>23</v>
      </c>
      <c r="D48" s="6" t="s">
        <v>55</v>
      </c>
      <c r="E48" s="2" t="s">
        <v>214</v>
      </c>
      <c r="F48" t="s">
        <v>25</v>
      </c>
      <c r="G48" s="7" t="s">
        <v>215</v>
      </c>
      <c r="H48" t="s">
        <v>30</v>
      </c>
      <c r="I48" t="s">
        <v>199</v>
      </c>
      <c r="J48" t="s">
        <v>46</v>
      </c>
      <c r="K48" t="s">
        <v>29</v>
      </c>
      <c r="L48" t="s">
        <v>103</v>
      </c>
      <c r="M48" t="s">
        <v>25</v>
      </c>
      <c r="N48" s="8" t="s">
        <v>25</v>
      </c>
      <c r="O48" s="8" t="s">
        <v>25</v>
      </c>
      <c r="P48" s="60"/>
      <c r="Q48" s="8">
        <f t="shared" si="2"/>
        <v>0.56666666666666676</v>
      </c>
      <c r="R48" s="8" t="s">
        <v>25</v>
      </c>
      <c r="S48" s="8" t="s">
        <v>25</v>
      </c>
      <c r="T48" s="8" t="s">
        <v>25</v>
      </c>
      <c r="U48" t="s">
        <v>50</v>
      </c>
      <c r="V48" t="s">
        <v>216</v>
      </c>
    </row>
    <row r="49" spans="1:22" ht="14.4" x14ac:dyDescent="0.3">
      <c r="A49" t="s">
        <v>21</v>
      </c>
      <c r="B49" t="s">
        <v>217</v>
      </c>
      <c r="C49" t="s">
        <v>54</v>
      </c>
      <c r="D49" s="7" t="s">
        <v>218</v>
      </c>
      <c r="E49" t="s">
        <v>25</v>
      </c>
      <c r="F49" t="s">
        <v>25</v>
      </c>
      <c r="G49" s="7" t="s">
        <v>25</v>
      </c>
      <c r="H49" t="s">
        <v>128</v>
      </c>
      <c r="I49" t="s">
        <v>219</v>
      </c>
      <c r="J49" t="s">
        <v>220</v>
      </c>
      <c r="K49" t="s">
        <v>29</v>
      </c>
      <c r="L49" t="s">
        <v>221</v>
      </c>
      <c r="M49" s="29" t="s">
        <v>116</v>
      </c>
      <c r="N49" s="31" t="s">
        <v>222</v>
      </c>
      <c r="O49" s="31" t="s">
        <v>223</v>
      </c>
      <c r="P49" s="67">
        <f>(0.75-0.53)/0.69</f>
        <v>0.3188405797101449</v>
      </c>
      <c r="Q49" s="67">
        <f>1-(0.53/0.69)</f>
        <v>0.23188405797101441</v>
      </c>
      <c r="R49" s="31" t="s">
        <v>224</v>
      </c>
      <c r="S49" s="8" t="s">
        <v>225</v>
      </c>
      <c r="T49" s="8" t="s">
        <v>226</v>
      </c>
      <c r="U49" t="s">
        <v>34</v>
      </c>
      <c r="V49" t="s">
        <v>227</v>
      </c>
    </row>
    <row r="50" spans="1:22" ht="14.4" x14ac:dyDescent="0.3">
      <c r="A50" t="s">
        <v>21</v>
      </c>
      <c r="B50" t="s">
        <v>217</v>
      </c>
      <c r="C50" t="s">
        <v>54</v>
      </c>
      <c r="D50" s="7" t="s">
        <v>218</v>
      </c>
      <c r="E50" t="s">
        <v>25</v>
      </c>
      <c r="F50" t="s">
        <v>25</v>
      </c>
      <c r="G50" s="7" t="s">
        <v>25</v>
      </c>
      <c r="H50" t="s">
        <v>128</v>
      </c>
      <c r="I50" t="s">
        <v>219</v>
      </c>
      <c r="J50" t="s">
        <v>228</v>
      </c>
      <c r="K50" t="s">
        <v>29</v>
      </c>
      <c r="L50" t="s">
        <v>221</v>
      </c>
      <c r="M50" t="s">
        <v>116</v>
      </c>
      <c r="N50" s="8" t="s">
        <v>229</v>
      </c>
      <c r="O50" s="8" t="s">
        <v>230</v>
      </c>
      <c r="P50" s="66">
        <f>(0.67-0.2)/0.69</f>
        <v>0.68115942028985521</v>
      </c>
      <c r="Q50" s="66">
        <f>1-(0.2/0.69)</f>
        <v>0.71014492753623182</v>
      </c>
      <c r="R50" s="8" t="s">
        <v>224</v>
      </c>
      <c r="S50" s="8" t="s">
        <v>231</v>
      </c>
      <c r="T50" s="8" t="s">
        <v>25</v>
      </c>
      <c r="U50" t="s">
        <v>34</v>
      </c>
      <c r="V50" t="s">
        <v>232</v>
      </c>
    </row>
    <row r="51" spans="1:22" ht="14.4" x14ac:dyDescent="0.3">
      <c r="A51" t="s">
        <v>21</v>
      </c>
      <c r="B51" t="s">
        <v>217</v>
      </c>
      <c r="C51" t="s">
        <v>54</v>
      </c>
      <c r="D51" s="7" t="s">
        <v>218</v>
      </c>
      <c r="E51" t="s">
        <v>25</v>
      </c>
      <c r="F51" t="s">
        <v>25</v>
      </c>
      <c r="G51" s="7" t="s">
        <v>25</v>
      </c>
      <c r="H51" t="s">
        <v>128</v>
      </c>
      <c r="I51" t="s">
        <v>219</v>
      </c>
      <c r="J51" t="s">
        <v>228</v>
      </c>
      <c r="K51" t="s">
        <v>29</v>
      </c>
      <c r="L51" t="s">
        <v>74</v>
      </c>
      <c r="M51" t="s">
        <v>116</v>
      </c>
      <c r="N51" s="8" t="s">
        <v>233</v>
      </c>
      <c r="O51" s="8" t="s">
        <v>234</v>
      </c>
      <c r="P51" s="66">
        <f>(2.07-0.78)/1.5</f>
        <v>0.85999999999999988</v>
      </c>
      <c r="Q51" s="66">
        <f>1-(0.78/1.5)</f>
        <v>0.48</v>
      </c>
      <c r="R51" s="8" t="s">
        <v>235</v>
      </c>
      <c r="S51" s="8" t="s">
        <v>231</v>
      </c>
      <c r="T51" s="8" t="s">
        <v>236</v>
      </c>
      <c r="U51" t="s">
        <v>34</v>
      </c>
      <c r="V51" t="s">
        <v>237</v>
      </c>
    </row>
    <row r="52" spans="1:22" ht="14.4" x14ac:dyDescent="0.3">
      <c r="A52" t="s">
        <v>21</v>
      </c>
      <c r="B52" t="s">
        <v>217</v>
      </c>
      <c r="C52" t="s">
        <v>54</v>
      </c>
      <c r="D52" s="7" t="s">
        <v>218</v>
      </c>
      <c r="E52" t="s">
        <v>25</v>
      </c>
      <c r="F52" t="s">
        <v>25</v>
      </c>
      <c r="G52" s="7" t="s">
        <v>25</v>
      </c>
      <c r="H52" t="s">
        <v>128</v>
      </c>
      <c r="I52" t="s">
        <v>219</v>
      </c>
      <c r="J52" t="s">
        <v>220</v>
      </c>
      <c r="K52" t="s">
        <v>29</v>
      </c>
      <c r="L52" t="s">
        <v>74</v>
      </c>
      <c r="M52" t="s">
        <v>116</v>
      </c>
      <c r="N52" s="8" t="s">
        <v>238</v>
      </c>
      <c r="O52" s="8" t="s">
        <v>239</v>
      </c>
      <c r="P52" s="66">
        <f>(1.55-0.7)/1.5</f>
        <v>0.56666666666666676</v>
      </c>
      <c r="Q52" s="66">
        <f>1-(0.7/1.5)</f>
        <v>0.53333333333333344</v>
      </c>
      <c r="R52" s="8" t="s">
        <v>235</v>
      </c>
      <c r="S52" s="8" t="s">
        <v>225</v>
      </c>
      <c r="T52" s="8" t="s">
        <v>240</v>
      </c>
      <c r="U52" t="s">
        <v>34</v>
      </c>
      <c r="V52" t="s">
        <v>227</v>
      </c>
    </row>
    <row r="53" spans="1:22" ht="14.4" x14ac:dyDescent="0.3">
      <c r="A53" t="s">
        <v>21</v>
      </c>
      <c r="B53" t="s">
        <v>217</v>
      </c>
      <c r="C53" t="s">
        <v>54</v>
      </c>
      <c r="D53" s="7" t="s">
        <v>218</v>
      </c>
      <c r="E53" t="s">
        <v>25</v>
      </c>
      <c r="F53" t="s">
        <v>241</v>
      </c>
      <c r="G53" s="6">
        <v>0.68</v>
      </c>
      <c r="H53" t="s">
        <v>128</v>
      </c>
      <c r="I53" t="s">
        <v>219</v>
      </c>
      <c r="J53" t="s">
        <v>46</v>
      </c>
      <c r="K53" t="s">
        <v>29</v>
      </c>
      <c r="L53" t="s">
        <v>221</v>
      </c>
      <c r="M53" s="29" t="s">
        <v>25</v>
      </c>
      <c r="N53" s="31" t="s">
        <v>25</v>
      </c>
      <c r="O53" s="31" t="s">
        <v>25</v>
      </c>
      <c r="P53" s="61">
        <f t="shared" ref="P53" si="3">1-(0.07-0.04)/0.18</f>
        <v>0.83333333333333326</v>
      </c>
      <c r="Q53" s="31">
        <f t="shared" si="2"/>
        <v>0.56666666666666676</v>
      </c>
      <c r="R53" s="31" t="s">
        <v>25</v>
      </c>
      <c r="S53" s="31" t="s">
        <v>25</v>
      </c>
      <c r="T53" s="31" t="s">
        <v>25</v>
      </c>
      <c r="U53" t="s">
        <v>50</v>
      </c>
    </row>
    <row r="54" spans="1:22" ht="14.4" x14ac:dyDescent="0.3">
      <c r="A54" t="s">
        <v>21</v>
      </c>
      <c r="B54" t="s">
        <v>217</v>
      </c>
      <c r="C54" t="s">
        <v>54</v>
      </c>
      <c r="D54" s="7" t="s">
        <v>218</v>
      </c>
      <c r="E54" t="s">
        <v>25</v>
      </c>
      <c r="F54" t="s">
        <v>241</v>
      </c>
      <c r="G54" s="6">
        <v>0.86</v>
      </c>
      <c r="H54" t="s">
        <v>128</v>
      </c>
      <c r="I54" t="s">
        <v>219</v>
      </c>
      <c r="J54" t="s">
        <v>46</v>
      </c>
      <c r="K54" t="s">
        <v>29</v>
      </c>
      <c r="L54" t="s">
        <v>74</v>
      </c>
      <c r="M54" s="15" t="s">
        <v>25</v>
      </c>
      <c r="N54" s="22" t="s">
        <v>25</v>
      </c>
      <c r="O54" s="22" t="s">
        <v>25</v>
      </c>
      <c r="P54" s="67"/>
      <c r="Q54" s="68"/>
      <c r="R54" s="22" t="s">
        <v>25</v>
      </c>
      <c r="S54" s="30" t="s">
        <v>242</v>
      </c>
      <c r="T54" s="30" t="s">
        <v>243</v>
      </c>
      <c r="U54" s="18" t="s">
        <v>50</v>
      </c>
    </row>
    <row r="55" spans="1:22" ht="14.4" x14ac:dyDescent="0.3">
      <c r="D55" s="7"/>
      <c r="G55" s="7"/>
      <c r="H55" s="7"/>
      <c r="N55" s="8"/>
      <c r="O55" s="8" t="s">
        <v>244</v>
      </c>
      <c r="P55" s="60">
        <f>AVERAGE(P10:P52)</f>
        <v>1.2758547235167177</v>
      </c>
      <c r="Q55" s="8">
        <f>AVERAGE(Q10:Q52)</f>
        <v>0.52417570100636524</v>
      </c>
      <c r="R55" s="8"/>
      <c r="S55" s="8"/>
      <c r="T55" s="8"/>
    </row>
    <row r="56" spans="1:22" ht="14.4" x14ac:dyDescent="0.3">
      <c r="D56" s="7"/>
      <c r="G56" s="7"/>
      <c r="H56" s="7"/>
      <c r="N56" s="8"/>
      <c r="O56" s="8" t="s">
        <v>245</v>
      </c>
      <c r="P56" s="60">
        <f>MEDIAN(P10:P52)</f>
        <v>0.48750000000000004</v>
      </c>
      <c r="Q56" s="8"/>
      <c r="R56" s="8"/>
      <c r="S56" s="8"/>
      <c r="T56" s="8"/>
    </row>
    <row r="57" spans="1:22" ht="14.4" x14ac:dyDescent="0.3">
      <c r="D57" s="7"/>
      <c r="G57" s="25"/>
      <c r="H57" s="25"/>
      <c r="N57" s="8"/>
      <c r="O57" s="8"/>
      <c r="P57" s="8"/>
      <c r="Q57" s="8"/>
      <c r="R57" s="8"/>
      <c r="S57" s="8"/>
      <c r="T57" s="8"/>
    </row>
    <row r="58" spans="1:22" ht="14.4" x14ac:dyDescent="0.3">
      <c r="D58" s="7"/>
      <c r="G58" s="25"/>
      <c r="H58" s="25"/>
      <c r="N58" s="8"/>
      <c r="O58" s="8"/>
      <c r="P58" s="8"/>
      <c r="Q58" s="8"/>
      <c r="R58" s="8"/>
      <c r="S58" s="8"/>
      <c r="T58" s="8"/>
    </row>
  </sheetData>
  <mergeCells count="1">
    <mergeCell ref="N1:O1"/>
  </mergeCells>
  <phoneticPr fontId="1" type="noConversion"/>
  <dataValidations count="1">
    <dataValidation allowBlank="1" sqref="N8:T8 N11:T12 N13 R19:T20 M31:M32 M34:M35 M37:M38 M24:M29 N14:T18 M40:M41 M50:M52 M4:M20 M43:M44 G54:I54 M46:M48 T13 N26:Q26" xr:uid="{3FE4C4F7-6421-45D6-AA8F-D959F18EE737}"/>
  </dataValidations>
  <pageMargins left="0.7" right="0.7" top="0.75" bottom="0.75" header="0.3" footer="0.3"/>
  <pageSetup orientation="portrait" horizontalDpi="1200" verticalDpi="12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CC28B1F7-E24C-4546-90DB-3C6BDD65787A}">
          <x14:formula1>
            <xm:f>Dropdown!$A$13:$A$18</xm:f>
          </x14:formula1>
          <xm:sqref>U3:U54</xm:sqref>
        </x14:dataValidation>
        <x14:dataValidation type="list" allowBlank="1" xr:uid="{C657A2CD-94FB-4CF7-B10D-07D121F52D0C}">
          <x14:formula1>
            <xm:f>Dropdown!$H$2:$H$4</xm:f>
          </x14:formula1>
          <xm:sqref>H10:H54</xm:sqref>
        </x14:dataValidation>
        <x14:dataValidation type="list" allowBlank="1" xr:uid="{2E258416-841E-4954-B0BC-51C8C8483EB4}">
          <x14:formula1>
            <xm:f>Dropdown!$A$2:$A$7</xm:f>
          </x14:formula1>
          <xm:sqref>K3:L54 H10:H54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3593-FA62-4D60-B757-0F94326ACEAE}">
  <dimension ref="A1:T27"/>
  <sheetViews>
    <sheetView topLeftCell="I1" workbookViewId="0">
      <selection activeCell="Q33" sqref="Q33"/>
    </sheetView>
  </sheetViews>
  <sheetFormatPr defaultRowHeight="14.4" x14ac:dyDescent="0.3"/>
  <cols>
    <col min="1" max="1" width="14.44140625" bestFit="1" customWidth="1"/>
    <col min="2" max="2" width="9.88671875" customWidth="1"/>
    <col min="3" max="3" width="16.88671875" customWidth="1"/>
    <col min="4" max="4" width="13.109375" customWidth="1"/>
    <col min="5" max="5" width="16.44140625" hidden="1" customWidth="1"/>
    <col min="6" max="6" width="28.88671875" hidden="1" customWidth="1"/>
    <col min="7" max="7" width="29.44140625" customWidth="1"/>
    <col min="8" max="8" width="13.109375" bestFit="1" customWidth="1"/>
    <col min="10" max="10" width="21.5546875" bestFit="1" customWidth="1"/>
    <col min="11" max="11" width="14" bestFit="1" customWidth="1"/>
    <col min="12" max="12" width="14.44140625" bestFit="1" customWidth="1"/>
    <col min="13" max="13" width="6.5546875" bestFit="1" customWidth="1"/>
    <col min="14" max="15" width="11.5546875" bestFit="1" customWidth="1"/>
    <col min="16" max="16" width="18.5546875" customWidth="1"/>
    <col min="17" max="17" width="13.5546875" style="8" bestFit="1" customWidth="1"/>
    <col min="18" max="18" width="9.44140625" bestFit="1" customWidth="1"/>
    <col min="19" max="19" width="20.88671875" bestFit="1" customWidth="1"/>
    <col min="20" max="20" width="45.44140625" customWidth="1"/>
    <col min="21" max="21" width="22.109375" customWidth="1"/>
  </cols>
  <sheetData>
    <row r="1" spans="1:20" s="11" customFormat="1" ht="28.8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11</v>
      </c>
      <c r="H1" s="12" t="s">
        <v>246</v>
      </c>
      <c r="I1" s="11" t="s">
        <v>247</v>
      </c>
      <c r="J1" s="11" t="s">
        <v>7</v>
      </c>
      <c r="K1" s="11" t="s">
        <v>8</v>
      </c>
      <c r="L1" s="11" t="s">
        <v>9</v>
      </c>
      <c r="M1" s="11" t="s">
        <v>12</v>
      </c>
      <c r="N1" s="11" t="s">
        <v>13</v>
      </c>
      <c r="O1" s="11" t="s">
        <v>14</v>
      </c>
      <c r="P1" s="13" t="s">
        <v>248</v>
      </c>
      <c r="Q1" s="50" t="s">
        <v>17</v>
      </c>
      <c r="R1" s="5" t="s">
        <v>18</v>
      </c>
      <c r="S1" s="13" t="s">
        <v>19</v>
      </c>
      <c r="T1" s="14" t="s">
        <v>20</v>
      </c>
    </row>
    <row r="2" spans="1:20" x14ac:dyDescent="0.3">
      <c r="A2" s="38" t="s">
        <v>21</v>
      </c>
      <c r="B2" s="38" t="s">
        <v>22</v>
      </c>
      <c r="C2" s="38" t="s">
        <v>23</v>
      </c>
      <c r="D2" s="37" t="s">
        <v>24</v>
      </c>
      <c r="E2" s="38" t="s">
        <v>25</v>
      </c>
      <c r="F2" s="38" t="s">
        <v>26</v>
      </c>
      <c r="G2" s="38" t="s">
        <v>30</v>
      </c>
      <c r="H2" s="37" t="s">
        <v>249</v>
      </c>
      <c r="I2" s="38" t="s">
        <v>250</v>
      </c>
      <c r="J2" s="38" t="s">
        <v>27</v>
      </c>
      <c r="K2" s="38" t="s">
        <v>46</v>
      </c>
      <c r="L2" s="38" t="s">
        <v>29</v>
      </c>
      <c r="M2" s="37" t="s">
        <v>25</v>
      </c>
      <c r="N2" s="37" t="s">
        <v>25</v>
      </c>
      <c r="O2" s="37" t="s">
        <v>25</v>
      </c>
      <c r="P2" s="39" t="s">
        <v>25</v>
      </c>
      <c r="Q2" s="51"/>
      <c r="R2" s="39"/>
      <c r="S2" s="36" t="s">
        <v>50</v>
      </c>
      <c r="T2" s="40"/>
    </row>
    <row r="3" spans="1:20" x14ac:dyDescent="0.3">
      <c r="A3" s="38" t="s">
        <v>21</v>
      </c>
      <c r="B3" s="38" t="s">
        <v>22</v>
      </c>
      <c r="C3" s="38" t="s">
        <v>23</v>
      </c>
      <c r="D3" s="37" t="s">
        <v>24</v>
      </c>
      <c r="E3" s="38" t="s">
        <v>25</v>
      </c>
      <c r="F3" s="38" t="s">
        <v>25</v>
      </c>
      <c r="G3" s="38" t="s">
        <v>30</v>
      </c>
      <c r="H3" s="46" t="s">
        <v>25</v>
      </c>
      <c r="I3" s="38" t="s">
        <v>250</v>
      </c>
      <c r="J3" s="38" t="s">
        <v>27</v>
      </c>
      <c r="K3" s="38" t="s">
        <v>36</v>
      </c>
      <c r="L3" s="38" t="s">
        <v>29</v>
      </c>
      <c r="M3" s="37" t="s">
        <v>31</v>
      </c>
      <c r="N3" s="37" t="s">
        <v>251</v>
      </c>
      <c r="O3" s="37" t="s">
        <v>252</v>
      </c>
      <c r="P3" s="39" t="s">
        <v>25</v>
      </c>
      <c r="Q3" s="51"/>
      <c r="R3" s="39"/>
      <c r="S3" s="36" t="s">
        <v>34</v>
      </c>
      <c r="T3" s="47" t="s">
        <v>39</v>
      </c>
    </row>
    <row r="4" spans="1:20" x14ac:dyDescent="0.3">
      <c r="A4" s="38" t="s">
        <v>21</v>
      </c>
      <c r="B4" s="38" t="s">
        <v>22</v>
      </c>
      <c r="C4" s="38" t="s">
        <v>23</v>
      </c>
      <c r="D4" s="37" t="s">
        <v>24</v>
      </c>
      <c r="E4" s="38" t="s">
        <v>25</v>
      </c>
      <c r="F4" s="38" t="s">
        <v>25</v>
      </c>
      <c r="G4" s="38" t="s">
        <v>30</v>
      </c>
      <c r="H4" s="46" t="s">
        <v>25</v>
      </c>
      <c r="I4" s="38" t="s">
        <v>250</v>
      </c>
      <c r="J4" s="38" t="s">
        <v>27</v>
      </c>
      <c r="K4" s="38" t="s">
        <v>28</v>
      </c>
      <c r="L4" s="38" t="s">
        <v>29</v>
      </c>
      <c r="M4" s="37" t="s">
        <v>31</v>
      </c>
      <c r="N4" s="37" t="s">
        <v>253</v>
      </c>
      <c r="O4" s="37" t="s">
        <v>254</v>
      </c>
      <c r="P4" s="39" t="s">
        <v>25</v>
      </c>
      <c r="Q4" s="51"/>
      <c r="R4" s="39"/>
      <c r="S4" s="36" t="s">
        <v>34</v>
      </c>
      <c r="T4" s="47" t="s">
        <v>35</v>
      </c>
    </row>
    <row r="5" spans="1:20" s="38" customFormat="1" x14ac:dyDescent="0.3">
      <c r="A5" t="s">
        <v>52</v>
      </c>
      <c r="B5" t="s">
        <v>53</v>
      </c>
      <c r="C5" t="s">
        <v>54</v>
      </c>
      <c r="D5" s="7" t="s">
        <v>84</v>
      </c>
      <c r="E5" t="s">
        <v>96</v>
      </c>
      <c r="F5" t="s">
        <v>97</v>
      </c>
      <c r="G5" t="s">
        <v>30</v>
      </c>
      <c r="H5" s="10" t="s">
        <v>255</v>
      </c>
      <c r="I5" t="s">
        <v>250</v>
      </c>
      <c r="J5" t="s">
        <v>57</v>
      </c>
      <c r="K5" t="s">
        <v>46</v>
      </c>
      <c r="L5" t="s">
        <v>29</v>
      </c>
      <c r="M5" s="7" t="s">
        <v>25</v>
      </c>
      <c r="N5" s="7" t="s">
        <v>25</v>
      </c>
      <c r="O5" s="7" t="s">
        <v>25</v>
      </c>
      <c r="P5" s="19" t="s">
        <v>25</v>
      </c>
      <c r="Q5" s="19" t="s">
        <v>25</v>
      </c>
      <c r="R5" s="19" t="s">
        <v>25</v>
      </c>
      <c r="S5" s="3" t="s">
        <v>179</v>
      </c>
      <c r="T5" s="4"/>
    </row>
    <row r="6" spans="1:20" s="38" customFormat="1" x14ac:dyDescent="0.3">
      <c r="A6" t="s">
        <v>52</v>
      </c>
      <c r="B6" t="s">
        <v>53</v>
      </c>
      <c r="C6" t="s">
        <v>54</v>
      </c>
      <c r="D6" s="7" t="s">
        <v>80</v>
      </c>
      <c r="E6" t="s">
        <v>25</v>
      </c>
      <c r="F6" t="s">
        <v>25</v>
      </c>
      <c r="G6" t="s">
        <v>128</v>
      </c>
      <c r="H6" s="7" t="s">
        <v>25</v>
      </c>
      <c r="I6" t="s">
        <v>250</v>
      </c>
      <c r="J6" t="s">
        <v>57</v>
      </c>
      <c r="K6" t="s">
        <v>68</v>
      </c>
      <c r="L6" t="s">
        <v>42</v>
      </c>
      <c r="M6" s="7" t="s">
        <v>60</v>
      </c>
      <c r="N6" s="7" t="s">
        <v>62</v>
      </c>
      <c r="O6" s="7" t="s">
        <v>81</v>
      </c>
      <c r="P6" s="19" t="s">
        <v>256</v>
      </c>
      <c r="Q6" s="8" t="s">
        <v>90</v>
      </c>
      <c r="R6" s="19" t="s">
        <v>25</v>
      </c>
      <c r="S6" t="s">
        <v>47</v>
      </c>
      <c r="T6" s="32" t="s">
        <v>257</v>
      </c>
    </row>
    <row r="7" spans="1:20" s="38" customFormat="1" x14ac:dyDescent="0.3">
      <c r="A7" t="s">
        <v>52</v>
      </c>
      <c r="B7" t="s">
        <v>53</v>
      </c>
      <c r="C7" t="s">
        <v>54</v>
      </c>
      <c r="D7" s="7" t="s">
        <v>55</v>
      </c>
      <c r="E7" t="s">
        <v>25</v>
      </c>
      <c r="F7" t="s">
        <v>25</v>
      </c>
      <c r="G7" t="s">
        <v>128</v>
      </c>
      <c r="H7" s="7" t="s">
        <v>25</v>
      </c>
      <c r="I7" t="s">
        <v>250</v>
      </c>
      <c r="J7" t="s">
        <v>57</v>
      </c>
      <c r="K7" t="s">
        <v>68</v>
      </c>
      <c r="L7" t="s">
        <v>42</v>
      </c>
      <c r="M7" s="7" t="s">
        <v>60</v>
      </c>
      <c r="N7" s="7" t="s">
        <v>62</v>
      </c>
      <c r="O7" s="7" t="s">
        <v>69</v>
      </c>
      <c r="P7" s="19" t="s">
        <v>258</v>
      </c>
      <c r="Q7" s="8" t="s">
        <v>259</v>
      </c>
      <c r="R7" s="19" t="s">
        <v>25</v>
      </c>
      <c r="S7" t="s">
        <v>47</v>
      </c>
      <c r="T7" s="32" t="s">
        <v>257</v>
      </c>
    </row>
    <row r="8" spans="1:20" x14ac:dyDescent="0.3">
      <c r="A8" t="s">
        <v>52</v>
      </c>
      <c r="B8" t="s">
        <v>53</v>
      </c>
      <c r="C8" t="s">
        <v>54</v>
      </c>
      <c r="D8" s="7" t="s">
        <v>55</v>
      </c>
      <c r="E8" t="s">
        <v>25</v>
      </c>
      <c r="F8" t="s">
        <v>25</v>
      </c>
      <c r="G8" t="s">
        <v>128</v>
      </c>
      <c r="H8" s="10" t="s">
        <v>260</v>
      </c>
      <c r="I8" t="s">
        <v>250</v>
      </c>
      <c r="J8" t="s">
        <v>57</v>
      </c>
      <c r="K8" t="s">
        <v>58</v>
      </c>
      <c r="L8" t="s">
        <v>42</v>
      </c>
      <c r="M8" s="7" t="s">
        <v>60</v>
      </c>
      <c r="N8" s="7" t="s">
        <v>261</v>
      </c>
      <c r="O8" s="7" t="s">
        <v>262</v>
      </c>
      <c r="P8" s="19" t="s">
        <v>263</v>
      </c>
      <c r="Q8" s="49" t="s">
        <v>264</v>
      </c>
      <c r="R8" s="19" t="s">
        <v>72</v>
      </c>
      <c r="S8" s="3" t="s">
        <v>265</v>
      </c>
      <c r="T8" s="4" t="s">
        <v>266</v>
      </c>
    </row>
    <row r="9" spans="1:20" x14ac:dyDescent="0.3">
      <c r="A9" t="s">
        <v>52</v>
      </c>
      <c r="B9" t="s">
        <v>53</v>
      </c>
      <c r="C9" t="s">
        <v>54</v>
      </c>
      <c r="D9" s="7" t="s">
        <v>80</v>
      </c>
      <c r="E9" t="s">
        <v>25</v>
      </c>
      <c r="F9" t="s">
        <v>25</v>
      </c>
      <c r="G9" t="s">
        <v>128</v>
      </c>
      <c r="H9" s="7" t="s">
        <v>25</v>
      </c>
      <c r="I9" t="s">
        <v>267</v>
      </c>
      <c r="J9" t="s">
        <v>57</v>
      </c>
      <c r="K9" t="s">
        <v>68</v>
      </c>
      <c r="L9" t="s">
        <v>42</v>
      </c>
      <c r="M9" s="7" t="s">
        <v>60</v>
      </c>
      <c r="N9" s="7" t="s">
        <v>268</v>
      </c>
      <c r="O9" s="7" t="s">
        <v>269</v>
      </c>
      <c r="P9" s="19" t="s">
        <v>88</v>
      </c>
      <c r="Q9" s="8" t="s">
        <v>259</v>
      </c>
      <c r="R9" s="19" t="s">
        <v>25</v>
      </c>
      <c r="S9" s="3" t="s">
        <v>47</v>
      </c>
      <c r="T9" s="4" t="s">
        <v>270</v>
      </c>
    </row>
    <row r="10" spans="1:20" x14ac:dyDescent="0.3">
      <c r="A10" t="s">
        <v>52</v>
      </c>
      <c r="B10" t="s">
        <v>53</v>
      </c>
      <c r="C10" t="s">
        <v>54</v>
      </c>
      <c r="D10" s="7" t="s">
        <v>55</v>
      </c>
      <c r="E10" t="s">
        <v>25</v>
      </c>
      <c r="F10" t="s">
        <v>25</v>
      </c>
      <c r="G10" t="s">
        <v>128</v>
      </c>
      <c r="H10" s="7" t="s">
        <v>25</v>
      </c>
      <c r="I10" t="s">
        <v>267</v>
      </c>
      <c r="J10" t="s">
        <v>57</v>
      </c>
      <c r="K10" t="s">
        <v>68</v>
      </c>
      <c r="L10" t="s">
        <v>42</v>
      </c>
      <c r="M10" s="7" t="s">
        <v>60</v>
      </c>
      <c r="N10" s="7" t="s">
        <v>268</v>
      </c>
      <c r="O10" s="7" t="s">
        <v>269</v>
      </c>
      <c r="P10" s="19" t="s">
        <v>88</v>
      </c>
      <c r="Q10" s="8" t="s">
        <v>90</v>
      </c>
      <c r="R10" s="19" t="s">
        <v>25</v>
      </c>
      <c r="S10" s="3" t="s">
        <v>47</v>
      </c>
      <c r="T10" s="4" t="s">
        <v>270</v>
      </c>
    </row>
    <row r="11" spans="1:20" x14ac:dyDescent="0.3">
      <c r="A11" t="s">
        <v>52</v>
      </c>
      <c r="B11" t="s">
        <v>53</v>
      </c>
      <c r="C11" t="s">
        <v>54</v>
      </c>
      <c r="D11" s="7" t="s">
        <v>55</v>
      </c>
      <c r="E11" t="s">
        <v>25</v>
      </c>
      <c r="F11" t="s">
        <v>25</v>
      </c>
      <c r="G11" t="s">
        <v>128</v>
      </c>
      <c r="H11" s="7" t="s">
        <v>25</v>
      </c>
      <c r="I11" t="s">
        <v>267</v>
      </c>
      <c r="J11" t="s">
        <v>57</v>
      </c>
      <c r="K11" t="s">
        <v>58</v>
      </c>
      <c r="L11" t="s">
        <v>42</v>
      </c>
      <c r="M11" s="7" t="s">
        <v>60</v>
      </c>
      <c r="N11" s="7" t="s">
        <v>271</v>
      </c>
      <c r="O11" s="7" t="s">
        <v>272</v>
      </c>
      <c r="P11" s="7" t="s">
        <v>88</v>
      </c>
      <c r="Q11" s="49" t="s">
        <v>273</v>
      </c>
      <c r="R11" s="19" t="s">
        <v>25</v>
      </c>
      <c r="S11" t="s">
        <v>47</v>
      </c>
      <c r="T11" t="s">
        <v>270</v>
      </c>
    </row>
    <row r="12" spans="1:20" x14ac:dyDescent="0.3">
      <c r="A12" t="s">
        <v>110</v>
      </c>
      <c r="B12" t="s">
        <v>111</v>
      </c>
      <c r="C12" t="s">
        <v>112</v>
      </c>
      <c r="D12" s="7" t="s">
        <v>113</v>
      </c>
      <c r="E12" t="s">
        <v>274</v>
      </c>
      <c r="F12" t="s">
        <v>25</v>
      </c>
      <c r="G12" t="s">
        <v>30</v>
      </c>
      <c r="H12" s="6">
        <v>0.99</v>
      </c>
      <c r="I12" t="s">
        <v>250</v>
      </c>
      <c r="J12" t="s">
        <v>115</v>
      </c>
      <c r="K12" t="s">
        <v>46</v>
      </c>
      <c r="L12" t="s">
        <v>42</v>
      </c>
      <c r="M12" s="7" t="s">
        <v>116</v>
      </c>
      <c r="N12" s="7" t="s">
        <v>275</v>
      </c>
      <c r="O12" s="7" t="s">
        <v>275</v>
      </c>
      <c r="P12" s="19" t="s">
        <v>276</v>
      </c>
      <c r="Q12" s="49" t="s">
        <v>277</v>
      </c>
      <c r="R12" s="19" t="s">
        <v>278</v>
      </c>
      <c r="S12" s="3" t="s">
        <v>47</v>
      </c>
      <c r="T12" s="4" t="s">
        <v>279</v>
      </c>
    </row>
    <row r="13" spans="1:20" x14ac:dyDescent="0.3">
      <c r="A13" t="s">
        <v>21</v>
      </c>
      <c r="B13" t="s">
        <v>123</v>
      </c>
      <c r="C13" t="s">
        <v>124</v>
      </c>
      <c r="D13" s="7" t="s">
        <v>145</v>
      </c>
      <c r="E13" t="s">
        <v>25</v>
      </c>
      <c r="F13" t="s">
        <v>25</v>
      </c>
      <c r="G13" t="s">
        <v>30</v>
      </c>
      <c r="H13" s="7" t="s">
        <v>280</v>
      </c>
      <c r="I13" t="s">
        <v>281</v>
      </c>
      <c r="J13" t="s">
        <v>125</v>
      </c>
      <c r="K13" t="s">
        <v>46</v>
      </c>
      <c r="L13" t="s">
        <v>29</v>
      </c>
      <c r="M13" s="7" t="s">
        <v>25</v>
      </c>
      <c r="N13" s="7" t="s">
        <v>25</v>
      </c>
      <c r="O13" s="7" t="s">
        <v>25</v>
      </c>
      <c r="P13" s="19" t="s">
        <v>25</v>
      </c>
      <c r="Q13" s="19" t="s">
        <v>25</v>
      </c>
      <c r="R13" s="19" t="s">
        <v>25</v>
      </c>
      <c r="S13" s="3" t="s">
        <v>50</v>
      </c>
      <c r="T13" s="4"/>
    </row>
    <row r="14" spans="1:20" x14ac:dyDescent="0.3">
      <c r="A14" t="s">
        <v>21</v>
      </c>
      <c r="B14" t="s">
        <v>123</v>
      </c>
      <c r="C14" t="s">
        <v>124</v>
      </c>
      <c r="D14" s="6" t="s">
        <v>134</v>
      </c>
      <c r="E14" t="s">
        <v>25</v>
      </c>
      <c r="F14" t="s">
        <v>25</v>
      </c>
      <c r="G14" t="s">
        <v>128</v>
      </c>
      <c r="H14" s="26" t="s">
        <v>25</v>
      </c>
      <c r="I14" t="s">
        <v>281</v>
      </c>
      <c r="J14" t="s">
        <v>125</v>
      </c>
      <c r="K14" t="s">
        <v>135</v>
      </c>
      <c r="L14" t="s">
        <v>29</v>
      </c>
      <c r="M14" s="7" t="s">
        <v>282</v>
      </c>
      <c r="N14" s="7" t="s">
        <v>283</v>
      </c>
      <c r="O14" s="7" t="s">
        <v>284</v>
      </c>
      <c r="P14" s="19" t="s">
        <v>285</v>
      </c>
      <c r="Q14" s="49" t="s">
        <v>286</v>
      </c>
      <c r="R14" s="19" t="s">
        <v>25</v>
      </c>
      <c r="S14" s="3" t="s">
        <v>47</v>
      </c>
      <c r="T14" s="4"/>
    </row>
    <row r="15" spans="1:20" x14ac:dyDescent="0.3">
      <c r="A15" t="s">
        <v>21</v>
      </c>
      <c r="B15" t="s">
        <v>123</v>
      </c>
      <c r="C15" t="s">
        <v>124</v>
      </c>
      <c r="D15" s="6" t="s">
        <v>287</v>
      </c>
      <c r="E15" t="s">
        <v>25</v>
      </c>
      <c r="F15" t="s">
        <v>25</v>
      </c>
      <c r="G15" t="s">
        <v>128</v>
      </c>
      <c r="H15" s="26" t="s">
        <v>25</v>
      </c>
      <c r="I15" t="s">
        <v>281</v>
      </c>
      <c r="J15" t="s">
        <v>125</v>
      </c>
      <c r="K15" t="s">
        <v>126</v>
      </c>
      <c r="L15" t="s">
        <v>29</v>
      </c>
      <c r="M15" s="7" t="s">
        <v>282</v>
      </c>
      <c r="N15" s="7" t="s">
        <v>283</v>
      </c>
      <c r="O15" s="7" t="s">
        <v>288</v>
      </c>
      <c r="P15" s="7" t="s">
        <v>285</v>
      </c>
      <c r="Q15" s="8" t="s">
        <v>289</v>
      </c>
      <c r="R15" s="7" t="s">
        <v>72</v>
      </c>
      <c r="S15" t="s">
        <v>34</v>
      </c>
      <c r="T15" s="4"/>
    </row>
    <row r="16" spans="1:20" x14ac:dyDescent="0.3">
      <c r="A16" s="38" t="s">
        <v>182</v>
      </c>
      <c r="B16" s="38" t="s">
        <v>183</v>
      </c>
      <c r="C16" s="38" t="s">
        <v>184</v>
      </c>
      <c r="D16" s="44">
        <v>1</v>
      </c>
      <c r="E16" t="s">
        <v>25</v>
      </c>
      <c r="F16" t="s">
        <v>25</v>
      </c>
      <c r="G16" s="38" t="s">
        <v>30</v>
      </c>
      <c r="H16" s="44">
        <v>0.47</v>
      </c>
      <c r="I16" s="57" t="s">
        <v>290</v>
      </c>
      <c r="J16" s="38" t="s">
        <v>186</v>
      </c>
      <c r="K16" s="38" t="s">
        <v>46</v>
      </c>
      <c r="L16" s="38" t="s">
        <v>29</v>
      </c>
      <c r="M16" s="37" t="s">
        <v>25</v>
      </c>
      <c r="N16" s="37" t="s">
        <v>25</v>
      </c>
      <c r="O16" s="37" t="s">
        <v>25</v>
      </c>
      <c r="P16" s="39" t="s">
        <v>25</v>
      </c>
      <c r="Q16" s="39" t="s">
        <v>25</v>
      </c>
      <c r="R16" s="39" t="s">
        <v>25</v>
      </c>
      <c r="S16" s="36" t="s">
        <v>50</v>
      </c>
      <c r="T16" s="40" t="s">
        <v>291</v>
      </c>
    </row>
    <row r="17" spans="1:20" s="38" customFormat="1" x14ac:dyDescent="0.3">
      <c r="A17" s="38" t="s">
        <v>182</v>
      </c>
      <c r="B17" s="38" t="s">
        <v>183</v>
      </c>
      <c r="C17" s="38" t="s">
        <v>184</v>
      </c>
      <c r="D17" s="44">
        <v>1</v>
      </c>
      <c r="E17" s="38" t="s">
        <v>25</v>
      </c>
      <c r="F17" s="38" t="s">
        <v>25</v>
      </c>
      <c r="G17" s="38" t="s">
        <v>30</v>
      </c>
      <c r="H17" s="37" t="s">
        <v>292</v>
      </c>
      <c r="I17" s="57" t="s">
        <v>290</v>
      </c>
      <c r="J17" s="38" t="s">
        <v>186</v>
      </c>
      <c r="K17" s="38" t="s">
        <v>191</v>
      </c>
      <c r="L17" s="38" t="s">
        <v>29</v>
      </c>
      <c r="M17" s="37" t="s">
        <v>116</v>
      </c>
      <c r="N17" s="37" t="s">
        <v>25</v>
      </c>
      <c r="O17" s="37" t="s">
        <v>293</v>
      </c>
      <c r="P17" s="39" t="s">
        <v>294</v>
      </c>
      <c r="Q17" s="19" t="s">
        <v>25</v>
      </c>
      <c r="R17" s="19" t="s">
        <v>25</v>
      </c>
      <c r="S17" s="36" t="s">
        <v>50</v>
      </c>
      <c r="T17" s="40"/>
    </row>
    <row r="18" spans="1:20" s="38" customFormat="1" x14ac:dyDescent="0.3">
      <c r="A18" s="38" t="s">
        <v>182</v>
      </c>
      <c r="B18" s="38" t="s">
        <v>183</v>
      </c>
      <c r="C18" s="38" t="s">
        <v>184</v>
      </c>
      <c r="D18" s="44">
        <v>1</v>
      </c>
      <c r="E18" s="38" t="s">
        <v>25</v>
      </c>
      <c r="F18" s="38" t="s">
        <v>25</v>
      </c>
      <c r="G18" s="38" t="s">
        <v>30</v>
      </c>
      <c r="H18" s="37" t="s">
        <v>295</v>
      </c>
      <c r="I18" s="57" t="s">
        <v>290</v>
      </c>
      <c r="J18" s="38" t="s">
        <v>186</v>
      </c>
      <c r="K18" s="38" t="s">
        <v>187</v>
      </c>
      <c r="L18" s="38" t="s">
        <v>29</v>
      </c>
      <c r="M18" s="37" t="s">
        <v>116</v>
      </c>
      <c r="N18" s="37" t="s">
        <v>25</v>
      </c>
      <c r="O18" s="37" t="s">
        <v>296</v>
      </c>
      <c r="P18" s="39" t="s">
        <v>297</v>
      </c>
      <c r="Q18" s="19" t="s">
        <v>25</v>
      </c>
      <c r="R18" s="19" t="s">
        <v>25</v>
      </c>
      <c r="S18" s="36" t="s">
        <v>50</v>
      </c>
      <c r="T18" s="40" t="s">
        <v>298</v>
      </c>
    </row>
    <row r="19" spans="1:20" x14ac:dyDescent="0.3">
      <c r="A19" t="s">
        <v>21</v>
      </c>
      <c r="B19" t="s">
        <v>217</v>
      </c>
      <c r="C19" t="s">
        <v>54</v>
      </c>
      <c r="D19" s="7" t="s">
        <v>218</v>
      </c>
      <c r="E19" t="s">
        <v>25</v>
      </c>
      <c r="F19" t="s">
        <v>299</v>
      </c>
      <c r="G19" t="s">
        <v>128</v>
      </c>
      <c r="H19" s="6">
        <v>0.75</v>
      </c>
      <c r="I19" t="s">
        <v>300</v>
      </c>
      <c r="J19" t="s">
        <v>219</v>
      </c>
      <c r="K19" t="s">
        <v>46</v>
      </c>
      <c r="L19" t="s">
        <v>29</v>
      </c>
      <c r="M19" s="7" t="s">
        <v>25</v>
      </c>
      <c r="N19" s="7" t="s">
        <v>25</v>
      </c>
      <c r="O19" s="7" t="s">
        <v>25</v>
      </c>
      <c r="P19" s="19" t="s">
        <v>25</v>
      </c>
      <c r="Q19" s="19" t="s">
        <v>25</v>
      </c>
      <c r="R19" s="19" t="s">
        <v>25</v>
      </c>
      <c r="S19" s="3" t="s">
        <v>50</v>
      </c>
      <c r="T19" s="4"/>
    </row>
    <row r="20" spans="1:20" x14ac:dyDescent="0.3">
      <c r="A20" t="s">
        <v>21</v>
      </c>
      <c r="B20" t="s">
        <v>217</v>
      </c>
      <c r="C20" t="s">
        <v>54</v>
      </c>
      <c r="D20" s="7" t="s">
        <v>218</v>
      </c>
      <c r="E20" t="s">
        <v>25</v>
      </c>
      <c r="F20" t="s">
        <v>25</v>
      </c>
      <c r="G20" t="s">
        <v>128</v>
      </c>
      <c r="H20" s="7" t="s">
        <v>25</v>
      </c>
      <c r="I20" t="s">
        <v>300</v>
      </c>
      <c r="J20" t="s">
        <v>219</v>
      </c>
      <c r="K20" t="s">
        <v>220</v>
      </c>
      <c r="L20" t="s">
        <v>29</v>
      </c>
      <c r="M20" s="7" t="s">
        <v>116</v>
      </c>
      <c r="N20" s="7" t="s">
        <v>301</v>
      </c>
      <c r="O20" s="7" t="s">
        <v>301</v>
      </c>
      <c r="P20" s="19">
        <v>0.13</v>
      </c>
      <c r="Q20" s="49" t="s">
        <v>302</v>
      </c>
      <c r="R20" s="19" t="s">
        <v>25</v>
      </c>
      <c r="S20" s="3" t="s">
        <v>47</v>
      </c>
      <c r="T20" s="4" t="s">
        <v>303</v>
      </c>
    </row>
    <row r="21" spans="1:20" x14ac:dyDescent="0.3">
      <c r="A21" t="s">
        <v>21</v>
      </c>
      <c r="B21" t="s">
        <v>217</v>
      </c>
      <c r="C21" t="s">
        <v>54</v>
      </c>
      <c r="D21" s="7" t="s">
        <v>218</v>
      </c>
      <c r="E21" t="s">
        <v>25</v>
      </c>
      <c r="F21" t="s">
        <v>25</v>
      </c>
      <c r="G21" t="s">
        <v>128</v>
      </c>
      <c r="H21" s="7" t="s">
        <v>25</v>
      </c>
      <c r="I21" t="s">
        <v>300</v>
      </c>
      <c r="J21" t="s">
        <v>219</v>
      </c>
      <c r="K21" t="s">
        <v>228</v>
      </c>
      <c r="L21" t="s">
        <v>29</v>
      </c>
      <c r="M21" s="7" t="s">
        <v>116</v>
      </c>
      <c r="N21" s="7">
        <v>0.21</v>
      </c>
      <c r="O21" s="7">
        <v>0.11</v>
      </c>
      <c r="P21" s="19">
        <v>0.13</v>
      </c>
      <c r="Q21" s="49" t="s">
        <v>231</v>
      </c>
      <c r="R21" s="19" t="s">
        <v>304</v>
      </c>
      <c r="S21" s="3" t="s">
        <v>34</v>
      </c>
      <c r="T21" s="4" t="s">
        <v>305</v>
      </c>
    </row>
    <row r="22" spans="1:20" x14ac:dyDescent="0.3">
      <c r="D22" s="7"/>
      <c r="P22" s="3"/>
      <c r="Q22" s="49"/>
      <c r="R22" s="3"/>
      <c r="S22" s="3"/>
      <c r="T22" s="4"/>
    </row>
    <row r="23" spans="1:20" x14ac:dyDescent="0.3">
      <c r="D23" s="7"/>
      <c r="P23" s="3"/>
      <c r="Q23" s="49"/>
      <c r="R23" s="3"/>
      <c r="S23" s="3"/>
      <c r="T23" s="4"/>
    </row>
    <row r="24" spans="1:20" x14ac:dyDescent="0.3">
      <c r="D24" s="7"/>
      <c r="P24" s="3"/>
      <c r="Q24" s="49"/>
      <c r="R24" s="3"/>
      <c r="S24" s="3"/>
      <c r="T24" s="4"/>
    </row>
    <row r="25" spans="1:20" x14ac:dyDescent="0.3">
      <c r="D25" s="7"/>
      <c r="P25" s="3"/>
      <c r="Q25" s="49"/>
      <c r="R25" s="3"/>
      <c r="S25" s="3"/>
      <c r="T25" s="4"/>
    </row>
    <row r="26" spans="1:20" x14ac:dyDescent="0.3">
      <c r="D26" s="7"/>
      <c r="P26" s="3"/>
      <c r="Q26" s="49"/>
      <c r="R26" s="3"/>
      <c r="S26" s="3"/>
      <c r="T26" s="4"/>
    </row>
    <row r="27" spans="1:20" x14ac:dyDescent="0.3">
      <c r="D27" s="7"/>
      <c r="P27" s="3"/>
      <c r="Q27" s="49"/>
      <c r="R27" s="3"/>
      <c r="S27" s="3"/>
      <c r="T27" s="4"/>
    </row>
  </sheetData>
  <phoneticPr fontId="1" type="noConversion"/>
  <dataValidations count="1">
    <dataValidation allowBlank="1" sqref="M16:M27 M2:M4 M6:M7 M9:M11 M13:M14 P19:P21 Q21:R21" xr:uid="{97522215-A717-46D6-B4C2-C7A258B994E3}"/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53B17C71-73FF-45AE-9D19-672A7BF52F61}">
          <x14:formula1>
            <xm:f>Dropdown!$A$2:$A$3</xm:f>
          </x14:formula1>
          <xm:sqref>N2:O2</xm:sqref>
        </x14:dataValidation>
        <x14:dataValidation type="list" allowBlank="1" xr:uid="{C994EDF5-1438-4EB5-A63D-387AD56FA2B2}">
          <x14:formula1>
            <xm:f>Dropdown!$H$2:$H$4</xm:f>
          </x14:formula1>
          <xm:sqref>G2:G27</xm:sqref>
        </x14:dataValidation>
        <x14:dataValidation type="list" allowBlank="1" xr:uid="{ECD45185-3FAA-419D-8D88-076562A17143}">
          <x14:formula1>
            <xm:f>Dropdown!$A$2:$A$4</xm:f>
          </x14:formula1>
          <xm:sqref>L2:L27</xm:sqref>
        </x14:dataValidation>
        <x14:dataValidation type="list" allowBlank="1" xr:uid="{DDC324C7-50DA-4C65-A001-D6FCB90DE492}">
          <x14:formula1>
            <xm:f>Dropdown!$A$13:$A$20</xm:f>
          </x14:formula1>
          <xm:sqref>S2:S27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C730-D553-425B-A467-0CC1BED2026B}">
  <dimension ref="A1:T11"/>
  <sheetViews>
    <sheetView workbookViewId="0">
      <selection activeCell="A7" sqref="A7"/>
    </sheetView>
  </sheetViews>
  <sheetFormatPr defaultRowHeight="14.4" x14ac:dyDescent="0.3"/>
  <cols>
    <col min="1" max="1" width="11.109375" customWidth="1"/>
    <col min="2" max="2" width="9.88671875" customWidth="1"/>
    <col min="3" max="3" width="17.88671875" customWidth="1"/>
    <col min="4" max="4" width="13.109375" customWidth="1"/>
    <col min="5" max="5" width="16.44140625" hidden="1" customWidth="1"/>
    <col min="6" max="6" width="28.88671875" hidden="1" customWidth="1"/>
    <col min="7" max="7" width="17.109375" bestFit="1" customWidth="1"/>
    <col min="8" max="8" width="27.5546875" customWidth="1"/>
    <col min="9" max="9" width="14.109375" customWidth="1"/>
    <col min="10" max="10" width="22.109375" customWidth="1"/>
    <col min="11" max="11" width="12" bestFit="1" customWidth="1"/>
    <col min="12" max="12" width="12.109375" bestFit="1" customWidth="1"/>
    <col min="13" max="13" width="7.5546875" bestFit="1" customWidth="1"/>
    <col min="14" max="14" width="9.44140625" bestFit="1" customWidth="1"/>
    <col min="15" max="15" width="19.5546875" bestFit="1" customWidth="1"/>
    <col min="16" max="18" width="13.109375" customWidth="1"/>
    <col min="19" max="19" width="15.8867187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306</v>
      </c>
      <c r="H1" t="s">
        <v>11</v>
      </c>
      <c r="I1" t="s">
        <v>307</v>
      </c>
      <c r="J1" t="s">
        <v>7</v>
      </c>
      <c r="K1" t="s">
        <v>308</v>
      </c>
      <c r="L1" t="s">
        <v>9</v>
      </c>
      <c r="M1" t="s">
        <v>309</v>
      </c>
      <c r="N1" t="s">
        <v>13</v>
      </c>
      <c r="O1" t="s">
        <v>14</v>
      </c>
      <c r="P1" s="21" t="s">
        <v>310</v>
      </c>
      <c r="Q1" s="5" t="s">
        <v>17</v>
      </c>
      <c r="R1" s="5" t="s">
        <v>18</v>
      </c>
      <c r="S1" t="s">
        <v>19</v>
      </c>
      <c r="T1" t="s">
        <v>20</v>
      </c>
    </row>
    <row r="2" spans="1:20" x14ac:dyDescent="0.3">
      <c r="A2" t="s">
        <v>21</v>
      </c>
      <c r="B2" t="s">
        <v>22</v>
      </c>
      <c r="C2" t="s">
        <v>23</v>
      </c>
      <c r="D2" s="7" t="s">
        <v>24</v>
      </c>
      <c r="E2" t="s">
        <v>25</v>
      </c>
      <c r="F2" s="1">
        <v>-0.32</v>
      </c>
      <c r="G2" t="s">
        <v>311</v>
      </c>
      <c r="H2" t="s">
        <v>30</v>
      </c>
      <c r="I2" s="7" t="s">
        <v>312</v>
      </c>
      <c r="J2" t="s">
        <v>148</v>
      </c>
      <c r="K2" t="s">
        <v>46</v>
      </c>
      <c r="L2" t="s">
        <v>29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50</v>
      </c>
    </row>
    <row r="3" spans="1:20" x14ac:dyDescent="0.3">
      <c r="A3" t="s">
        <v>21</v>
      </c>
      <c r="B3" t="s">
        <v>22</v>
      </c>
      <c r="C3" t="s">
        <v>23</v>
      </c>
      <c r="D3" s="7" t="s">
        <v>24</v>
      </c>
      <c r="G3" t="s">
        <v>311</v>
      </c>
      <c r="H3" t="s">
        <v>128</v>
      </c>
      <c r="I3" s="7" t="s">
        <v>25</v>
      </c>
      <c r="J3" t="s">
        <v>148</v>
      </c>
      <c r="K3" t="s">
        <v>313</v>
      </c>
      <c r="L3" t="s">
        <v>29</v>
      </c>
      <c r="M3" t="s">
        <v>116</v>
      </c>
      <c r="N3" t="s">
        <v>314</v>
      </c>
      <c r="O3" t="s">
        <v>315</v>
      </c>
      <c r="P3" t="s">
        <v>316</v>
      </c>
      <c r="Q3" t="s">
        <v>25</v>
      </c>
      <c r="R3" t="s">
        <v>25</v>
      </c>
      <c r="S3" t="s">
        <v>34</v>
      </c>
      <c r="T3" t="s">
        <v>317</v>
      </c>
    </row>
    <row r="4" spans="1:20" x14ac:dyDescent="0.3">
      <c r="A4" t="s">
        <v>21</v>
      </c>
      <c r="B4" t="s">
        <v>22</v>
      </c>
      <c r="C4" t="s">
        <v>23</v>
      </c>
      <c r="D4" s="7" t="s">
        <v>24</v>
      </c>
      <c r="G4" t="s">
        <v>311</v>
      </c>
      <c r="H4" t="s">
        <v>128</v>
      </c>
      <c r="I4" s="7" t="s">
        <v>25</v>
      </c>
      <c r="J4" t="s">
        <v>148</v>
      </c>
      <c r="K4" t="s">
        <v>318</v>
      </c>
      <c r="L4" t="s">
        <v>29</v>
      </c>
      <c r="M4" t="s">
        <v>116</v>
      </c>
      <c r="N4" t="s">
        <v>319</v>
      </c>
      <c r="O4" t="s">
        <v>320</v>
      </c>
      <c r="P4" t="s">
        <v>321</v>
      </c>
      <c r="Q4" t="s">
        <v>25</v>
      </c>
      <c r="R4" t="s">
        <v>25</v>
      </c>
      <c r="S4" t="s">
        <v>34</v>
      </c>
      <c r="T4" t="s">
        <v>322</v>
      </c>
    </row>
    <row r="5" spans="1:20" x14ac:dyDescent="0.3">
      <c r="A5" t="s">
        <v>21</v>
      </c>
      <c r="B5" t="s">
        <v>22</v>
      </c>
      <c r="C5" t="s">
        <v>23</v>
      </c>
      <c r="D5" s="7" t="s">
        <v>24</v>
      </c>
      <c r="G5" t="s">
        <v>323</v>
      </c>
      <c r="H5" t="s">
        <v>128</v>
      </c>
      <c r="I5" s="7" t="s">
        <v>25</v>
      </c>
      <c r="J5" t="s">
        <v>148</v>
      </c>
      <c r="K5" t="s">
        <v>318</v>
      </c>
      <c r="L5" t="s">
        <v>29</v>
      </c>
      <c r="M5" t="s">
        <v>116</v>
      </c>
      <c r="N5" t="s">
        <v>324</v>
      </c>
      <c r="O5" t="s">
        <v>325</v>
      </c>
      <c r="P5" t="s">
        <v>326</v>
      </c>
      <c r="Q5" t="s">
        <v>327</v>
      </c>
      <c r="R5" t="s">
        <v>25</v>
      </c>
      <c r="S5" t="s">
        <v>47</v>
      </c>
      <c r="T5" t="s">
        <v>322</v>
      </c>
    </row>
    <row r="6" spans="1:20" s="38" customFormat="1" x14ac:dyDescent="0.3">
      <c r="A6" s="38" t="s">
        <v>182</v>
      </c>
      <c r="B6" s="38" t="s">
        <v>183</v>
      </c>
      <c r="C6" s="38" t="s">
        <v>184</v>
      </c>
      <c r="D6" s="44">
        <v>1</v>
      </c>
      <c r="E6" s="38" t="s">
        <v>25</v>
      </c>
      <c r="F6" s="38" t="s">
        <v>25</v>
      </c>
      <c r="G6" s="38" t="s">
        <v>311</v>
      </c>
      <c r="H6" s="38" t="s">
        <v>30</v>
      </c>
      <c r="I6" s="44">
        <v>0.86</v>
      </c>
      <c r="J6" s="38" t="s">
        <v>186</v>
      </c>
      <c r="K6" s="38" t="s">
        <v>46</v>
      </c>
      <c r="L6" s="38" t="s">
        <v>29</v>
      </c>
      <c r="M6" s="38" t="s">
        <v>31</v>
      </c>
      <c r="N6" s="38" t="s">
        <v>25</v>
      </c>
      <c r="O6" s="38" t="s">
        <v>25</v>
      </c>
      <c r="P6" s="38" t="s">
        <v>25</v>
      </c>
      <c r="Q6" s="38" t="s">
        <v>25</v>
      </c>
      <c r="R6" s="38" t="s">
        <v>25</v>
      </c>
      <c r="S6" s="38" t="s">
        <v>50</v>
      </c>
    </row>
    <row r="7" spans="1:20" s="38" customFormat="1" x14ac:dyDescent="0.3">
      <c r="A7" s="38" t="s">
        <v>182</v>
      </c>
      <c r="B7" s="38" t="s">
        <v>183</v>
      </c>
      <c r="C7" s="38" t="s">
        <v>184</v>
      </c>
      <c r="D7" s="44">
        <v>1</v>
      </c>
      <c r="E7" s="38" t="s">
        <v>25</v>
      </c>
      <c r="F7" s="38" t="s">
        <v>25</v>
      </c>
      <c r="G7" s="38" t="s">
        <v>311</v>
      </c>
      <c r="H7" s="38" t="s">
        <v>128</v>
      </c>
      <c r="I7" s="37" t="s">
        <v>328</v>
      </c>
      <c r="J7" s="38" t="s">
        <v>186</v>
      </c>
      <c r="K7" s="38" t="s">
        <v>191</v>
      </c>
      <c r="L7" s="38" t="s">
        <v>42</v>
      </c>
      <c r="M7" s="38" t="s">
        <v>116</v>
      </c>
      <c r="N7" s="38" t="s">
        <v>25</v>
      </c>
      <c r="O7" s="38" t="s">
        <v>329</v>
      </c>
      <c r="P7" s="38" t="s">
        <v>330</v>
      </c>
      <c r="S7" s="38" t="s">
        <v>50</v>
      </c>
    </row>
    <row r="8" spans="1:20" s="38" customFormat="1" x14ac:dyDescent="0.3">
      <c r="A8" s="38" t="s">
        <v>182</v>
      </c>
      <c r="B8" s="38" t="s">
        <v>183</v>
      </c>
      <c r="C8" s="38" t="s">
        <v>184</v>
      </c>
      <c r="D8" s="44">
        <v>1</v>
      </c>
      <c r="E8" s="38" t="s">
        <v>25</v>
      </c>
      <c r="F8" s="38" t="s">
        <v>25</v>
      </c>
      <c r="G8" s="38" t="s">
        <v>311</v>
      </c>
      <c r="H8" s="38" t="s">
        <v>128</v>
      </c>
      <c r="I8" s="37" t="s">
        <v>331</v>
      </c>
      <c r="J8" s="38" t="s">
        <v>186</v>
      </c>
      <c r="K8" s="38" t="s">
        <v>187</v>
      </c>
      <c r="L8" s="38" t="s">
        <v>29</v>
      </c>
      <c r="M8" s="38" t="s">
        <v>116</v>
      </c>
      <c r="N8" s="38" t="s">
        <v>25</v>
      </c>
      <c r="O8" s="38" t="s">
        <v>332</v>
      </c>
      <c r="P8" s="38" t="s">
        <v>330</v>
      </c>
      <c r="S8" s="38" t="s">
        <v>34</v>
      </c>
      <c r="T8" s="38" t="s">
        <v>333</v>
      </c>
    </row>
    <row r="9" spans="1:20" x14ac:dyDescent="0.3">
      <c r="D9" s="7"/>
      <c r="I9" s="7"/>
    </row>
    <row r="10" spans="1:20" x14ac:dyDescent="0.3">
      <c r="D10" s="7"/>
      <c r="I10" s="7"/>
    </row>
    <row r="11" spans="1:20" x14ac:dyDescent="0.3">
      <c r="D11" s="7"/>
      <c r="I11" s="7"/>
    </row>
  </sheetData>
  <phoneticPr fontId="1" type="noConversion"/>
  <dataValidations count="1">
    <dataValidation allowBlank="1" sqref="M6:M11 M2:M4" xr:uid="{146EF514-EE23-4CA8-AD59-F03996678323}"/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DFD87A73-C057-42E6-8541-EACF63FB4CA5}">
          <x14:formula1>
            <xm:f>Dropdown!$A$2:$A$6</xm:f>
          </x14:formula1>
          <xm:sqref>L2:L11</xm:sqref>
        </x14:dataValidation>
        <x14:dataValidation type="list" allowBlank="1" showInputMessage="1" showErrorMessage="1" xr:uid="{52080518-FF27-4B91-A87D-BA7411B08078}">
          <x14:formula1>
            <xm:f>Dropdown!$A$13:$A$18</xm:f>
          </x14:formula1>
          <xm:sqref>S2:S11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940-DCDD-498A-A860-A6B8A378C031}">
  <dimension ref="A1:S67"/>
  <sheetViews>
    <sheetView topLeftCell="J1" workbookViewId="0">
      <selection activeCell="O5" sqref="O5"/>
    </sheetView>
  </sheetViews>
  <sheetFormatPr defaultColWidth="8.88671875" defaultRowHeight="15" customHeight="1" x14ac:dyDescent="0.3"/>
  <cols>
    <col min="1" max="1" width="11.88671875" customWidth="1"/>
    <col min="2" max="2" width="10" customWidth="1"/>
    <col min="3" max="3" width="18.109375" customWidth="1"/>
    <col min="4" max="4" width="13.5546875" bestFit="1" customWidth="1"/>
    <col min="5" max="5" width="17" hidden="1" customWidth="1"/>
    <col min="6" max="6" width="30.5546875" hidden="1" customWidth="1"/>
    <col min="7" max="7" width="8.44140625" hidden="1" customWidth="1"/>
    <col min="8" max="8" width="13.5546875" customWidth="1"/>
    <col min="9" max="9" width="27" customWidth="1"/>
    <col min="10" max="10" width="21.5546875" bestFit="1" customWidth="1"/>
    <col min="11" max="11" width="19.88671875" bestFit="1" customWidth="1"/>
    <col min="13" max="13" width="13.44140625" bestFit="1" customWidth="1"/>
    <col min="14" max="14" width="14.44140625" bestFit="1" customWidth="1"/>
    <col min="15" max="15" width="10.88671875" bestFit="1" customWidth="1"/>
    <col min="16" max="16" width="27" customWidth="1"/>
    <col min="17" max="17" width="9.44140625" bestFit="1" customWidth="1"/>
    <col min="18" max="18" width="15.88671875" bestFit="1" customWidth="1"/>
    <col min="19" max="19" width="101.5546875" customWidth="1"/>
    <col min="21" max="21" width="18" customWidth="1"/>
    <col min="23" max="23" width="18.109375" customWidth="1"/>
    <col min="24" max="24" width="142.5546875" bestFit="1" customWidth="1"/>
  </cols>
  <sheetData>
    <row r="1" spans="1:19" ht="14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10</v>
      </c>
      <c r="H1" s="5" t="s">
        <v>306</v>
      </c>
      <c r="I1" s="5" t="s">
        <v>334</v>
      </c>
      <c r="J1" s="5" t="s">
        <v>7</v>
      </c>
      <c r="K1" s="5" t="s">
        <v>308</v>
      </c>
      <c r="L1" s="5" t="s">
        <v>335</v>
      </c>
      <c r="M1" s="5" t="s">
        <v>12</v>
      </c>
      <c r="N1" s="5" t="s">
        <v>13</v>
      </c>
      <c r="O1" s="5" t="s">
        <v>14</v>
      </c>
      <c r="P1" s="5" t="s">
        <v>17</v>
      </c>
      <c r="Q1" s="5" t="s">
        <v>18</v>
      </c>
      <c r="R1" s="23" t="s">
        <v>19</v>
      </c>
      <c r="S1" s="5" t="s">
        <v>20</v>
      </c>
    </row>
    <row r="2" spans="1:19" ht="14.4" x14ac:dyDescent="0.3">
      <c r="A2" s="36" t="s">
        <v>21</v>
      </c>
      <c r="B2" s="36" t="s">
        <v>22</v>
      </c>
      <c r="C2" s="36" t="s">
        <v>23</v>
      </c>
      <c r="D2" s="39" t="s">
        <v>24</v>
      </c>
      <c r="E2" s="3"/>
      <c r="F2" s="3"/>
      <c r="G2" s="3"/>
      <c r="H2" s="36" t="s">
        <v>336</v>
      </c>
      <c r="I2" s="38" t="s">
        <v>337</v>
      </c>
      <c r="J2" s="36" t="s">
        <v>27</v>
      </c>
      <c r="K2" s="36" t="s">
        <v>338</v>
      </c>
      <c r="L2" s="38" t="s">
        <v>29</v>
      </c>
      <c r="M2" s="36" t="s">
        <v>339</v>
      </c>
      <c r="N2" s="46" t="s">
        <v>340</v>
      </c>
      <c r="O2" s="52" t="s">
        <v>25</v>
      </c>
      <c r="P2" s="53" t="s">
        <v>341</v>
      </c>
      <c r="Q2" s="52" t="s">
        <v>160</v>
      </c>
      <c r="R2" s="36" t="s">
        <v>342</v>
      </c>
      <c r="S2" s="36" t="s">
        <v>343</v>
      </c>
    </row>
    <row r="3" spans="1:19" ht="14.4" x14ac:dyDescent="0.3">
      <c r="A3" s="36" t="s">
        <v>21</v>
      </c>
      <c r="B3" s="36" t="s">
        <v>22</v>
      </c>
      <c r="C3" s="36" t="s">
        <v>23</v>
      </c>
      <c r="D3" s="39" t="s">
        <v>24</v>
      </c>
      <c r="E3" s="3"/>
      <c r="F3" s="3"/>
      <c r="G3" s="3"/>
      <c r="H3" s="36" t="s">
        <v>336</v>
      </c>
      <c r="I3" s="38" t="s">
        <v>337</v>
      </c>
      <c r="J3" s="36" t="s">
        <v>27</v>
      </c>
      <c r="K3" s="36" t="s">
        <v>344</v>
      </c>
      <c r="L3" s="38" t="s">
        <v>29</v>
      </c>
      <c r="M3" s="36" t="s">
        <v>339</v>
      </c>
      <c r="N3" s="39" t="s">
        <v>345</v>
      </c>
      <c r="O3" s="52" t="s">
        <v>25</v>
      </c>
      <c r="P3" s="53" t="s">
        <v>341</v>
      </c>
      <c r="Q3" s="52" t="s">
        <v>160</v>
      </c>
      <c r="R3" s="36" t="s">
        <v>342</v>
      </c>
      <c r="S3" s="36" t="s">
        <v>343</v>
      </c>
    </row>
    <row r="4" spans="1:19" ht="14.4" x14ac:dyDescent="0.3">
      <c r="A4" s="36" t="s">
        <v>21</v>
      </c>
      <c r="B4" s="36" t="s">
        <v>22</v>
      </c>
      <c r="C4" s="36" t="s">
        <v>23</v>
      </c>
      <c r="D4" s="39" t="s">
        <v>24</v>
      </c>
      <c r="E4" s="3"/>
      <c r="F4" s="3"/>
      <c r="G4" s="3"/>
      <c r="H4" s="36" t="s">
        <v>336</v>
      </c>
      <c r="I4" s="38" t="s">
        <v>337</v>
      </c>
      <c r="J4" s="36" t="s">
        <v>27</v>
      </c>
      <c r="K4" s="36" t="s">
        <v>36</v>
      </c>
      <c r="L4" s="38" t="s">
        <v>29</v>
      </c>
      <c r="M4" s="36" t="s">
        <v>339</v>
      </c>
      <c r="N4" s="52" t="s">
        <v>25</v>
      </c>
      <c r="O4" s="39" t="s">
        <v>346</v>
      </c>
      <c r="P4" s="36"/>
      <c r="Q4" s="39"/>
      <c r="R4" s="36" t="s">
        <v>342</v>
      </c>
      <c r="S4" s="36" t="s">
        <v>347</v>
      </c>
    </row>
    <row r="5" spans="1:19" s="38" customFormat="1" ht="14.4" x14ac:dyDescent="0.3">
      <c r="A5" s="36" t="s">
        <v>21</v>
      </c>
      <c r="B5" s="36" t="s">
        <v>22</v>
      </c>
      <c r="C5" s="36" t="s">
        <v>23</v>
      </c>
      <c r="D5" s="39" t="s">
        <v>24</v>
      </c>
      <c r="E5" s="3"/>
      <c r="F5" s="3"/>
      <c r="G5" s="3"/>
      <c r="H5" s="36" t="s">
        <v>336</v>
      </c>
      <c r="I5" s="38" t="s">
        <v>337</v>
      </c>
      <c r="J5" s="36" t="s">
        <v>27</v>
      </c>
      <c r="K5" s="36" t="s">
        <v>28</v>
      </c>
      <c r="L5" s="38" t="s">
        <v>29</v>
      </c>
      <c r="M5" s="36" t="s">
        <v>339</v>
      </c>
      <c r="N5" s="52" t="s">
        <v>25</v>
      </c>
      <c r="O5" s="39" t="s">
        <v>348</v>
      </c>
      <c r="P5" s="36"/>
      <c r="Q5" s="39"/>
      <c r="R5" s="36" t="s">
        <v>342</v>
      </c>
      <c r="S5" s="36" t="s">
        <v>347</v>
      </c>
    </row>
    <row r="6" spans="1:19" s="38" customFormat="1" ht="14.4" x14ac:dyDescent="0.3">
      <c r="A6" s="3" t="s">
        <v>52</v>
      </c>
      <c r="B6" s="3" t="s">
        <v>53</v>
      </c>
      <c r="C6" s="3" t="s">
        <v>54</v>
      </c>
      <c r="D6" s="16" t="s">
        <v>55</v>
      </c>
      <c r="E6" s="3"/>
      <c r="F6" s="3"/>
      <c r="G6" s="3"/>
      <c r="H6" s="3" t="s">
        <v>336</v>
      </c>
      <c r="I6" t="s">
        <v>337</v>
      </c>
      <c r="J6" s="3" t="s">
        <v>349</v>
      </c>
      <c r="K6" s="3" t="s">
        <v>350</v>
      </c>
      <c r="L6" t="s">
        <v>29</v>
      </c>
      <c r="M6" s="3" t="s">
        <v>339</v>
      </c>
      <c r="N6" s="19" t="s">
        <v>351</v>
      </c>
      <c r="O6" s="19" t="s">
        <v>352</v>
      </c>
      <c r="P6" s="3" t="s">
        <v>353</v>
      </c>
      <c r="Q6" s="34" t="s">
        <v>160</v>
      </c>
      <c r="R6" t="s">
        <v>47</v>
      </c>
      <c r="S6" s="3"/>
    </row>
    <row r="7" spans="1:19" ht="14.4" x14ac:dyDescent="0.3">
      <c r="A7" t="s">
        <v>52</v>
      </c>
      <c r="B7" t="s">
        <v>53</v>
      </c>
      <c r="C7" t="s">
        <v>54</v>
      </c>
      <c r="D7" s="6" t="s">
        <v>55</v>
      </c>
      <c r="H7" t="s">
        <v>336</v>
      </c>
      <c r="I7" t="s">
        <v>337</v>
      </c>
      <c r="J7" t="s">
        <v>349</v>
      </c>
      <c r="K7" t="s">
        <v>354</v>
      </c>
      <c r="L7" t="s">
        <v>355</v>
      </c>
      <c r="M7" t="s">
        <v>339</v>
      </c>
      <c r="N7" s="7" t="s">
        <v>356</v>
      </c>
      <c r="O7" s="27" t="s">
        <v>357</v>
      </c>
      <c r="P7" s="3" t="s">
        <v>358</v>
      </c>
      <c r="Q7" s="34" t="s">
        <v>160</v>
      </c>
      <c r="R7" t="s">
        <v>47</v>
      </c>
      <c r="S7" t="s">
        <v>359</v>
      </c>
    </row>
    <row r="8" spans="1:19" ht="14.4" x14ac:dyDescent="0.3">
      <c r="A8" t="s">
        <v>52</v>
      </c>
      <c r="B8" t="s">
        <v>53</v>
      </c>
      <c r="C8" t="s">
        <v>54</v>
      </c>
      <c r="D8" s="7" t="s">
        <v>80</v>
      </c>
      <c r="E8" t="s">
        <v>85</v>
      </c>
      <c r="F8" t="s">
        <v>86</v>
      </c>
      <c r="G8" t="s">
        <v>30</v>
      </c>
      <c r="H8" t="s">
        <v>336</v>
      </c>
      <c r="I8" t="s">
        <v>337</v>
      </c>
      <c r="J8" t="s">
        <v>349</v>
      </c>
      <c r="K8" t="s">
        <v>360</v>
      </c>
      <c r="L8" t="s">
        <v>29</v>
      </c>
      <c r="M8" t="s">
        <v>339</v>
      </c>
      <c r="N8" s="7" t="s">
        <v>361</v>
      </c>
      <c r="O8" s="27" t="s">
        <v>362</v>
      </c>
      <c r="P8" t="s">
        <v>363</v>
      </c>
      <c r="Q8" s="34" t="s">
        <v>160</v>
      </c>
      <c r="R8" t="s">
        <v>47</v>
      </c>
    </row>
    <row r="9" spans="1:19" ht="14.4" x14ac:dyDescent="0.3">
      <c r="A9" t="s">
        <v>52</v>
      </c>
      <c r="B9" t="s">
        <v>53</v>
      </c>
      <c r="C9" t="s">
        <v>54</v>
      </c>
      <c r="D9" s="6" t="s">
        <v>55</v>
      </c>
      <c r="H9" t="s">
        <v>336</v>
      </c>
      <c r="I9" t="s">
        <v>337</v>
      </c>
      <c r="J9" t="s">
        <v>349</v>
      </c>
      <c r="K9" t="s">
        <v>360</v>
      </c>
      <c r="L9" t="s">
        <v>29</v>
      </c>
      <c r="M9" t="s">
        <v>339</v>
      </c>
      <c r="N9" s="27" t="s">
        <v>361</v>
      </c>
      <c r="O9" s="7" t="s">
        <v>364</v>
      </c>
      <c r="P9" t="s">
        <v>363</v>
      </c>
      <c r="Q9" s="34" t="s">
        <v>160</v>
      </c>
      <c r="R9" t="s">
        <v>47</v>
      </c>
    </row>
    <row r="10" spans="1:19" ht="14.4" x14ac:dyDescent="0.3">
      <c r="A10" t="s">
        <v>52</v>
      </c>
      <c r="B10" t="s">
        <v>53</v>
      </c>
      <c r="C10" t="s">
        <v>54</v>
      </c>
      <c r="D10" s="7" t="s">
        <v>80</v>
      </c>
      <c r="H10" t="s">
        <v>336</v>
      </c>
      <c r="I10" t="s">
        <v>337</v>
      </c>
      <c r="J10" t="s">
        <v>349</v>
      </c>
      <c r="K10" t="s">
        <v>365</v>
      </c>
      <c r="L10" t="s">
        <v>355</v>
      </c>
      <c r="M10" t="s">
        <v>339</v>
      </c>
      <c r="N10" s="27" t="s">
        <v>366</v>
      </c>
      <c r="O10" s="7" t="s">
        <v>367</v>
      </c>
      <c r="P10" t="s">
        <v>368</v>
      </c>
      <c r="Q10" s="34" t="s">
        <v>65</v>
      </c>
      <c r="R10" t="s">
        <v>369</v>
      </c>
      <c r="S10" t="s">
        <v>370</v>
      </c>
    </row>
    <row r="11" spans="1:19" ht="14.4" x14ac:dyDescent="0.3">
      <c r="A11" t="s">
        <v>52</v>
      </c>
      <c r="B11" t="s">
        <v>53</v>
      </c>
      <c r="C11" t="s">
        <v>54</v>
      </c>
      <c r="D11" s="6" t="s">
        <v>55</v>
      </c>
      <c r="H11" t="s">
        <v>336</v>
      </c>
      <c r="I11" t="s">
        <v>337</v>
      </c>
      <c r="J11" t="s">
        <v>349</v>
      </c>
      <c r="K11" t="s">
        <v>365</v>
      </c>
      <c r="L11" t="s">
        <v>355</v>
      </c>
      <c r="M11" t="s">
        <v>339</v>
      </c>
      <c r="N11" s="7" t="s">
        <v>371</v>
      </c>
      <c r="O11" s="7" t="s">
        <v>372</v>
      </c>
      <c r="P11" t="s">
        <v>373</v>
      </c>
      <c r="Q11" s="7" t="s">
        <v>65</v>
      </c>
      <c r="R11" t="s">
        <v>369</v>
      </c>
      <c r="S11" t="s">
        <v>374</v>
      </c>
    </row>
    <row r="12" spans="1:19" ht="14.4" x14ac:dyDescent="0.3">
      <c r="A12" t="s">
        <v>52</v>
      </c>
      <c r="B12" t="s">
        <v>53</v>
      </c>
      <c r="C12" t="s">
        <v>54</v>
      </c>
      <c r="D12" s="7" t="s">
        <v>80</v>
      </c>
      <c r="H12" t="s">
        <v>375</v>
      </c>
      <c r="I12" t="s">
        <v>337</v>
      </c>
      <c r="J12" t="s">
        <v>349</v>
      </c>
      <c r="K12" t="s">
        <v>360</v>
      </c>
      <c r="L12" t="s">
        <v>29</v>
      </c>
      <c r="M12" t="s">
        <v>31</v>
      </c>
      <c r="N12" s="7" t="s">
        <v>376</v>
      </c>
      <c r="O12" s="7" t="s">
        <v>377</v>
      </c>
      <c r="P12" t="s">
        <v>378</v>
      </c>
      <c r="Q12" s="7" t="s">
        <v>160</v>
      </c>
      <c r="R12" t="s">
        <v>47</v>
      </c>
    </row>
    <row r="13" spans="1:19" ht="14.4" x14ac:dyDescent="0.3">
      <c r="A13" t="s">
        <v>52</v>
      </c>
      <c r="B13" t="s">
        <v>53</v>
      </c>
      <c r="C13" t="s">
        <v>54</v>
      </c>
      <c r="D13" s="6" t="s">
        <v>55</v>
      </c>
      <c r="H13" t="s">
        <v>375</v>
      </c>
      <c r="I13" t="s">
        <v>337</v>
      </c>
      <c r="J13" t="s">
        <v>349</v>
      </c>
      <c r="K13" t="s">
        <v>360</v>
      </c>
      <c r="L13" t="s">
        <v>29</v>
      </c>
      <c r="M13" t="s">
        <v>31</v>
      </c>
      <c r="N13" s="27" t="s">
        <v>376</v>
      </c>
      <c r="O13" s="7" t="s">
        <v>379</v>
      </c>
      <c r="P13" t="s">
        <v>373</v>
      </c>
      <c r="Q13" s="7" t="s">
        <v>380</v>
      </c>
      <c r="R13" t="s">
        <v>369</v>
      </c>
    </row>
    <row r="14" spans="1:19" ht="14.4" x14ac:dyDescent="0.3">
      <c r="A14" t="s">
        <v>52</v>
      </c>
      <c r="B14" t="s">
        <v>53</v>
      </c>
      <c r="C14" t="s">
        <v>54</v>
      </c>
      <c r="D14" s="7" t="s">
        <v>80</v>
      </c>
      <c r="H14" t="s">
        <v>375</v>
      </c>
      <c r="I14" t="s">
        <v>337</v>
      </c>
      <c r="J14" t="s">
        <v>349</v>
      </c>
      <c r="K14" t="s">
        <v>365</v>
      </c>
      <c r="L14" t="s">
        <v>29</v>
      </c>
      <c r="M14" t="s">
        <v>31</v>
      </c>
      <c r="N14" s="27" t="s">
        <v>381</v>
      </c>
      <c r="O14" s="7" t="s">
        <v>382</v>
      </c>
      <c r="P14" t="s">
        <v>383</v>
      </c>
      <c r="Q14" s="7" t="s">
        <v>160</v>
      </c>
      <c r="R14" t="s">
        <v>47</v>
      </c>
    </row>
    <row r="15" spans="1:19" ht="14.4" x14ac:dyDescent="0.3">
      <c r="A15" t="s">
        <v>52</v>
      </c>
      <c r="B15" t="s">
        <v>53</v>
      </c>
      <c r="C15" t="s">
        <v>54</v>
      </c>
      <c r="D15" s="6" t="s">
        <v>55</v>
      </c>
      <c r="H15" t="s">
        <v>375</v>
      </c>
      <c r="I15" t="s">
        <v>337</v>
      </c>
      <c r="J15" t="s">
        <v>349</v>
      </c>
      <c r="K15" s="3" t="s">
        <v>365</v>
      </c>
      <c r="L15" t="s">
        <v>29</v>
      </c>
      <c r="M15" t="s">
        <v>31</v>
      </c>
      <c r="N15" s="7" t="s">
        <v>381</v>
      </c>
      <c r="O15" s="7" t="s">
        <v>384</v>
      </c>
      <c r="P15" t="s">
        <v>373</v>
      </c>
      <c r="Q15" s="7" t="s">
        <v>72</v>
      </c>
      <c r="R15" t="s">
        <v>369</v>
      </c>
    </row>
    <row r="16" spans="1:19" ht="14.4" x14ac:dyDescent="0.3">
      <c r="A16" t="s">
        <v>52</v>
      </c>
      <c r="B16" t="s">
        <v>53</v>
      </c>
      <c r="C16" t="s">
        <v>54</v>
      </c>
      <c r="D16" s="6" t="s">
        <v>55</v>
      </c>
      <c r="H16" t="s">
        <v>375</v>
      </c>
      <c r="I16" t="s">
        <v>337</v>
      </c>
      <c r="J16" t="s">
        <v>349</v>
      </c>
      <c r="K16" t="s">
        <v>350</v>
      </c>
      <c r="L16" t="s">
        <v>42</v>
      </c>
      <c r="M16" t="s">
        <v>31</v>
      </c>
      <c r="N16" s="7" t="s">
        <v>385</v>
      </c>
      <c r="O16" s="7" t="s">
        <v>386</v>
      </c>
      <c r="P16" t="s">
        <v>387</v>
      </c>
      <c r="Q16" s="7" t="s">
        <v>160</v>
      </c>
      <c r="R16" t="s">
        <v>47</v>
      </c>
    </row>
    <row r="17" spans="1:19" ht="14.4" x14ac:dyDescent="0.3">
      <c r="A17" t="s">
        <v>52</v>
      </c>
      <c r="B17" t="s">
        <v>53</v>
      </c>
      <c r="C17" t="s">
        <v>54</v>
      </c>
      <c r="D17" s="6" t="s">
        <v>55</v>
      </c>
      <c r="H17" t="s">
        <v>375</v>
      </c>
      <c r="I17" t="s">
        <v>337</v>
      </c>
      <c r="J17" t="s">
        <v>349</v>
      </c>
      <c r="K17" t="s">
        <v>354</v>
      </c>
      <c r="L17" t="s">
        <v>29</v>
      </c>
      <c r="M17" t="s">
        <v>31</v>
      </c>
      <c r="N17" s="7" t="s">
        <v>388</v>
      </c>
      <c r="O17" s="7" t="s">
        <v>389</v>
      </c>
      <c r="P17" t="s">
        <v>373</v>
      </c>
      <c r="Q17" s="7" t="s">
        <v>72</v>
      </c>
      <c r="R17" t="s">
        <v>369</v>
      </c>
    </row>
    <row r="18" spans="1:19" ht="14.4" x14ac:dyDescent="0.3">
      <c r="A18" t="s">
        <v>21</v>
      </c>
      <c r="B18" t="s">
        <v>22</v>
      </c>
      <c r="C18" t="s">
        <v>104</v>
      </c>
      <c r="D18" s="7" t="s">
        <v>390</v>
      </c>
      <c r="E18" t="s">
        <v>25</v>
      </c>
      <c r="F18" t="s">
        <v>106</v>
      </c>
      <c r="G18" t="s">
        <v>30</v>
      </c>
      <c r="H18" t="s">
        <v>391</v>
      </c>
      <c r="I18" t="s">
        <v>337</v>
      </c>
      <c r="J18" t="s">
        <v>108</v>
      </c>
      <c r="K18" s="3" t="s">
        <v>392</v>
      </c>
      <c r="L18" t="s">
        <v>29</v>
      </c>
      <c r="M18" t="s">
        <v>393</v>
      </c>
      <c r="N18" s="7" t="s">
        <v>394</v>
      </c>
      <c r="O18" s="7" t="s">
        <v>395</v>
      </c>
      <c r="P18" t="s">
        <v>396</v>
      </c>
      <c r="Q18" s="7" t="s">
        <v>160</v>
      </c>
      <c r="R18" t="s">
        <v>397</v>
      </c>
    </row>
    <row r="19" spans="1:19" ht="14.4" x14ac:dyDescent="0.3">
      <c r="A19" t="s">
        <v>21</v>
      </c>
      <c r="B19" t="s">
        <v>22</v>
      </c>
      <c r="C19" t="s">
        <v>104</v>
      </c>
      <c r="D19" s="7" t="s">
        <v>398</v>
      </c>
      <c r="H19" t="s">
        <v>391</v>
      </c>
      <c r="I19" t="s">
        <v>337</v>
      </c>
      <c r="J19" t="s">
        <v>108</v>
      </c>
      <c r="K19" t="s">
        <v>399</v>
      </c>
      <c r="L19" t="s">
        <v>29</v>
      </c>
      <c r="M19" t="s">
        <v>393</v>
      </c>
      <c r="N19" s="7" t="s">
        <v>394</v>
      </c>
      <c r="O19" s="7" t="s">
        <v>400</v>
      </c>
      <c r="P19" t="s">
        <v>396</v>
      </c>
      <c r="Q19" s="7" t="s">
        <v>160</v>
      </c>
      <c r="R19" t="s">
        <v>397</v>
      </c>
    </row>
    <row r="20" spans="1:19" ht="14.4" x14ac:dyDescent="0.3">
      <c r="A20" t="s">
        <v>21</v>
      </c>
      <c r="B20" t="s">
        <v>22</v>
      </c>
      <c r="C20" t="s">
        <v>104</v>
      </c>
      <c r="D20" s="7" t="s">
        <v>401</v>
      </c>
      <c r="E20" s="3"/>
      <c r="F20" s="3"/>
      <c r="H20" t="s">
        <v>391</v>
      </c>
      <c r="I20" t="s">
        <v>337</v>
      </c>
      <c r="J20" t="s">
        <v>108</v>
      </c>
      <c r="K20" t="s">
        <v>402</v>
      </c>
      <c r="L20" t="s">
        <v>29</v>
      </c>
      <c r="M20" t="s">
        <v>393</v>
      </c>
      <c r="N20" s="7" t="s">
        <v>394</v>
      </c>
      <c r="O20" s="19" t="s">
        <v>403</v>
      </c>
      <c r="P20" t="s">
        <v>396</v>
      </c>
      <c r="Q20" s="7" t="s">
        <v>160</v>
      </c>
      <c r="R20" t="s">
        <v>397</v>
      </c>
      <c r="S20" s="3"/>
    </row>
    <row r="21" spans="1:19" ht="14.4" x14ac:dyDescent="0.3">
      <c r="A21" t="s">
        <v>21</v>
      </c>
      <c r="B21" t="s">
        <v>22</v>
      </c>
      <c r="C21" t="s">
        <v>104</v>
      </c>
      <c r="D21" s="7" t="s">
        <v>390</v>
      </c>
      <c r="H21" t="s">
        <v>336</v>
      </c>
      <c r="I21" t="s">
        <v>337</v>
      </c>
      <c r="J21" t="s">
        <v>108</v>
      </c>
      <c r="K21" t="s">
        <v>392</v>
      </c>
      <c r="L21" t="s">
        <v>29</v>
      </c>
      <c r="M21" t="s">
        <v>404</v>
      </c>
      <c r="N21" s="27" t="s">
        <v>405</v>
      </c>
      <c r="O21" s="7" t="s">
        <v>406</v>
      </c>
      <c r="P21" s="34" t="s">
        <v>25</v>
      </c>
      <c r="Q21" s="34" t="s">
        <v>25</v>
      </c>
      <c r="R21" t="s">
        <v>397</v>
      </c>
      <c r="S21" t="s">
        <v>407</v>
      </c>
    </row>
    <row r="22" spans="1:19" ht="14.4" x14ac:dyDescent="0.3">
      <c r="A22" t="s">
        <v>21</v>
      </c>
      <c r="B22" t="s">
        <v>22</v>
      </c>
      <c r="C22" t="s">
        <v>104</v>
      </c>
      <c r="D22" s="7" t="s">
        <v>398</v>
      </c>
      <c r="H22" t="s">
        <v>336</v>
      </c>
      <c r="I22" t="s">
        <v>337</v>
      </c>
      <c r="J22" t="s">
        <v>108</v>
      </c>
      <c r="K22" t="s">
        <v>399</v>
      </c>
      <c r="L22" t="s">
        <v>29</v>
      </c>
      <c r="M22" t="s">
        <v>404</v>
      </c>
      <c r="N22" s="27" t="s">
        <v>405</v>
      </c>
      <c r="O22" s="7" t="s">
        <v>408</v>
      </c>
      <c r="P22" s="34" t="s">
        <v>25</v>
      </c>
      <c r="Q22" s="34" t="s">
        <v>25</v>
      </c>
      <c r="R22" t="s">
        <v>397</v>
      </c>
      <c r="S22" t="s">
        <v>407</v>
      </c>
    </row>
    <row r="23" spans="1:19" ht="14.4" x14ac:dyDescent="0.3">
      <c r="A23" t="s">
        <v>21</v>
      </c>
      <c r="B23" t="s">
        <v>22</v>
      </c>
      <c r="C23" t="s">
        <v>104</v>
      </c>
      <c r="D23" s="7" t="s">
        <v>401</v>
      </c>
      <c r="H23" t="s">
        <v>336</v>
      </c>
      <c r="I23" t="s">
        <v>337</v>
      </c>
      <c r="J23" t="s">
        <v>108</v>
      </c>
      <c r="K23" t="s">
        <v>402</v>
      </c>
      <c r="L23" t="s">
        <v>29</v>
      </c>
      <c r="M23" t="s">
        <v>404</v>
      </c>
      <c r="N23" s="27" t="s">
        <v>405</v>
      </c>
      <c r="O23" s="7" t="s">
        <v>409</v>
      </c>
      <c r="P23" s="34" t="s">
        <v>25</v>
      </c>
      <c r="Q23" s="34" t="s">
        <v>25</v>
      </c>
      <c r="R23" t="s">
        <v>397</v>
      </c>
      <c r="S23" t="s">
        <v>407</v>
      </c>
    </row>
    <row r="24" spans="1:19" ht="14.4" x14ac:dyDescent="0.3">
      <c r="A24" t="s">
        <v>110</v>
      </c>
      <c r="B24" t="s">
        <v>410</v>
      </c>
      <c r="C24" t="s">
        <v>411</v>
      </c>
      <c r="D24" s="6" t="s">
        <v>80</v>
      </c>
      <c r="H24" t="s">
        <v>336</v>
      </c>
      <c r="I24" t="s">
        <v>412</v>
      </c>
      <c r="J24" t="s">
        <v>413</v>
      </c>
      <c r="K24" t="s">
        <v>414</v>
      </c>
      <c r="L24" t="s">
        <v>29</v>
      </c>
      <c r="M24" t="s">
        <v>339</v>
      </c>
      <c r="N24" s="27" t="s">
        <v>415</v>
      </c>
      <c r="O24" s="7">
        <v>9.8000000000000007</v>
      </c>
      <c r="P24" t="s">
        <v>416</v>
      </c>
      <c r="Q24" s="7" t="s">
        <v>72</v>
      </c>
      <c r="R24" t="s">
        <v>369</v>
      </c>
      <c r="S24" t="s">
        <v>417</v>
      </c>
    </row>
    <row r="25" spans="1:19" ht="14.4" x14ac:dyDescent="0.3">
      <c r="A25" t="s">
        <v>110</v>
      </c>
      <c r="B25" t="s">
        <v>410</v>
      </c>
      <c r="C25" t="s">
        <v>411</v>
      </c>
      <c r="D25" s="6" t="s">
        <v>418</v>
      </c>
      <c r="H25" t="s">
        <v>336</v>
      </c>
      <c r="I25" t="s">
        <v>412</v>
      </c>
      <c r="J25" t="s">
        <v>413</v>
      </c>
      <c r="K25" s="3" t="s">
        <v>414</v>
      </c>
      <c r="L25" t="s">
        <v>29</v>
      </c>
      <c r="M25" t="s">
        <v>339</v>
      </c>
      <c r="N25" s="7" t="s">
        <v>415</v>
      </c>
      <c r="O25" s="7">
        <v>18.32</v>
      </c>
      <c r="P25" t="s">
        <v>416</v>
      </c>
      <c r="Q25" s="7" t="s">
        <v>72</v>
      </c>
      <c r="R25" t="s">
        <v>369</v>
      </c>
      <c r="S25" t="s">
        <v>417</v>
      </c>
    </row>
    <row r="26" spans="1:19" ht="14.4" x14ac:dyDescent="0.3">
      <c r="A26" t="s">
        <v>110</v>
      </c>
      <c r="B26" t="s">
        <v>410</v>
      </c>
      <c r="C26" t="s">
        <v>411</v>
      </c>
      <c r="D26" s="6" t="s">
        <v>80</v>
      </c>
      <c r="H26" t="s">
        <v>336</v>
      </c>
      <c r="I26" t="s">
        <v>412</v>
      </c>
      <c r="J26" t="s">
        <v>413</v>
      </c>
      <c r="K26" s="3" t="s">
        <v>419</v>
      </c>
      <c r="L26" t="s">
        <v>29</v>
      </c>
      <c r="M26" t="s">
        <v>339</v>
      </c>
      <c r="N26" s="7" t="s">
        <v>415</v>
      </c>
      <c r="O26" s="7">
        <v>1.86</v>
      </c>
      <c r="P26" t="s">
        <v>416</v>
      </c>
      <c r="Q26" s="7" t="s">
        <v>72</v>
      </c>
      <c r="R26" t="s">
        <v>369</v>
      </c>
      <c r="S26" t="s">
        <v>417</v>
      </c>
    </row>
    <row r="27" spans="1:19" ht="14.4" x14ac:dyDescent="0.3">
      <c r="A27" t="s">
        <v>110</v>
      </c>
      <c r="B27" t="s">
        <v>410</v>
      </c>
      <c r="C27" t="s">
        <v>411</v>
      </c>
      <c r="D27" s="6" t="s">
        <v>418</v>
      </c>
      <c r="E27" s="3"/>
      <c r="F27" s="3"/>
      <c r="H27" t="s">
        <v>336</v>
      </c>
      <c r="I27" t="s">
        <v>412</v>
      </c>
      <c r="J27" t="s">
        <v>413</v>
      </c>
      <c r="K27" s="3" t="s">
        <v>419</v>
      </c>
      <c r="L27" s="3" t="s">
        <v>29</v>
      </c>
      <c r="M27" t="s">
        <v>339</v>
      </c>
      <c r="N27" s="19" t="s">
        <v>415</v>
      </c>
      <c r="O27" s="19">
        <v>5.27</v>
      </c>
      <c r="P27" t="s">
        <v>416</v>
      </c>
      <c r="Q27" s="7" t="s">
        <v>72</v>
      </c>
      <c r="R27" s="3" t="s">
        <v>369</v>
      </c>
      <c r="S27" s="3" t="s">
        <v>417</v>
      </c>
    </row>
    <row r="28" spans="1:19" ht="14.4" x14ac:dyDescent="0.3">
      <c r="A28" t="s">
        <v>110</v>
      </c>
      <c r="B28" t="s">
        <v>410</v>
      </c>
      <c r="C28" t="s">
        <v>411</v>
      </c>
      <c r="D28" s="6" t="s">
        <v>80</v>
      </c>
      <c r="E28" s="3"/>
      <c r="F28" s="3"/>
      <c r="H28" t="s">
        <v>336</v>
      </c>
      <c r="I28" t="s">
        <v>412</v>
      </c>
      <c r="J28" t="s">
        <v>413</v>
      </c>
      <c r="K28" s="3" t="s">
        <v>420</v>
      </c>
      <c r="L28" s="3" t="s">
        <v>29</v>
      </c>
      <c r="M28" t="s">
        <v>339</v>
      </c>
      <c r="N28" s="19">
        <v>3.98</v>
      </c>
      <c r="O28" s="19">
        <v>34.700000000000003</v>
      </c>
      <c r="P28" t="s">
        <v>416</v>
      </c>
      <c r="Q28" s="7" t="s">
        <v>72</v>
      </c>
      <c r="R28" s="3" t="s">
        <v>369</v>
      </c>
      <c r="S28" s="3" t="s">
        <v>417</v>
      </c>
    </row>
    <row r="29" spans="1:19" ht="14.4" x14ac:dyDescent="0.3">
      <c r="A29" t="s">
        <v>110</v>
      </c>
      <c r="B29" t="s">
        <v>410</v>
      </c>
      <c r="C29" t="s">
        <v>411</v>
      </c>
      <c r="D29" s="6" t="s">
        <v>418</v>
      </c>
      <c r="H29" t="s">
        <v>336</v>
      </c>
      <c r="I29" t="s">
        <v>412</v>
      </c>
      <c r="J29" t="s">
        <v>413</v>
      </c>
      <c r="K29" t="s">
        <v>420</v>
      </c>
      <c r="L29" s="3" t="s">
        <v>29</v>
      </c>
      <c r="M29" t="s">
        <v>339</v>
      </c>
      <c r="N29" s="19">
        <v>3.98</v>
      </c>
      <c r="O29" s="19">
        <v>38.21</v>
      </c>
      <c r="P29" t="s">
        <v>416</v>
      </c>
      <c r="Q29" s="7" t="s">
        <v>72</v>
      </c>
      <c r="R29" s="3" t="s">
        <v>369</v>
      </c>
      <c r="S29" s="3" t="s">
        <v>417</v>
      </c>
    </row>
    <row r="30" spans="1:19" ht="14.4" x14ac:dyDescent="0.3">
      <c r="A30" t="s">
        <v>110</v>
      </c>
      <c r="B30" t="s">
        <v>410</v>
      </c>
      <c r="C30" t="s">
        <v>411</v>
      </c>
      <c r="D30" s="6" t="s">
        <v>80</v>
      </c>
      <c r="H30" t="s">
        <v>336</v>
      </c>
      <c r="I30" t="s">
        <v>412</v>
      </c>
      <c r="J30" t="s">
        <v>413</v>
      </c>
      <c r="K30" t="s">
        <v>421</v>
      </c>
      <c r="L30" t="s">
        <v>29</v>
      </c>
      <c r="M30" t="s">
        <v>339</v>
      </c>
      <c r="N30" s="7">
        <v>0.71</v>
      </c>
      <c r="O30" s="7">
        <v>2.77</v>
      </c>
      <c r="P30" t="s">
        <v>422</v>
      </c>
      <c r="Q30" s="7" t="s">
        <v>160</v>
      </c>
      <c r="R30" t="s">
        <v>369</v>
      </c>
      <c r="S30" t="s">
        <v>417</v>
      </c>
    </row>
    <row r="31" spans="1:19" ht="14.4" x14ac:dyDescent="0.3">
      <c r="A31" t="s">
        <v>110</v>
      </c>
      <c r="B31" t="s">
        <v>410</v>
      </c>
      <c r="C31" t="s">
        <v>411</v>
      </c>
      <c r="D31" s="6" t="s">
        <v>418</v>
      </c>
      <c r="H31" t="s">
        <v>336</v>
      </c>
      <c r="I31" t="s">
        <v>412</v>
      </c>
      <c r="J31" t="s">
        <v>413</v>
      </c>
      <c r="K31" t="s">
        <v>421</v>
      </c>
      <c r="L31" t="s">
        <v>29</v>
      </c>
      <c r="M31" t="s">
        <v>339</v>
      </c>
      <c r="N31" s="7">
        <v>0.71</v>
      </c>
      <c r="O31" s="7">
        <v>3.7</v>
      </c>
      <c r="P31" t="s">
        <v>422</v>
      </c>
      <c r="Q31" s="7" t="s">
        <v>423</v>
      </c>
      <c r="R31" t="s">
        <v>369</v>
      </c>
      <c r="S31" t="s">
        <v>417</v>
      </c>
    </row>
    <row r="32" spans="1:19" ht="14.4" x14ac:dyDescent="0.3">
      <c r="A32" t="s">
        <v>110</v>
      </c>
      <c r="B32" t="s">
        <v>410</v>
      </c>
      <c r="C32" t="s">
        <v>411</v>
      </c>
      <c r="D32" s="6" t="s">
        <v>418</v>
      </c>
      <c r="H32" t="s">
        <v>336</v>
      </c>
      <c r="I32" t="s">
        <v>412</v>
      </c>
      <c r="J32" t="s">
        <v>413</v>
      </c>
      <c r="K32" t="s">
        <v>424</v>
      </c>
      <c r="L32" t="s">
        <v>29</v>
      </c>
      <c r="M32" t="s">
        <v>339</v>
      </c>
      <c r="N32" s="7">
        <v>1.34</v>
      </c>
      <c r="O32" s="7">
        <v>2.59</v>
      </c>
      <c r="P32" t="s">
        <v>422</v>
      </c>
      <c r="Q32" s="7" t="s">
        <v>160</v>
      </c>
      <c r="R32" t="s">
        <v>369</v>
      </c>
      <c r="S32" t="s">
        <v>425</v>
      </c>
    </row>
    <row r="33" spans="1:19" ht="14.4" x14ac:dyDescent="0.3">
      <c r="A33" t="s">
        <v>110</v>
      </c>
      <c r="B33" t="s">
        <v>410</v>
      </c>
      <c r="C33" t="s">
        <v>411</v>
      </c>
      <c r="D33" s="6" t="s">
        <v>418</v>
      </c>
      <c r="H33" t="s">
        <v>336</v>
      </c>
      <c r="I33" t="s">
        <v>412</v>
      </c>
      <c r="J33" t="s">
        <v>413</v>
      </c>
      <c r="K33" t="s">
        <v>426</v>
      </c>
      <c r="L33" t="s">
        <v>29</v>
      </c>
      <c r="M33" t="s">
        <v>339</v>
      </c>
      <c r="N33" s="7">
        <v>0.43</v>
      </c>
      <c r="O33" s="7">
        <v>1</v>
      </c>
      <c r="P33" t="s">
        <v>422</v>
      </c>
      <c r="Q33" s="7" t="s">
        <v>160</v>
      </c>
      <c r="R33" t="s">
        <v>369</v>
      </c>
      <c r="S33" t="s">
        <v>425</v>
      </c>
    </row>
    <row r="34" spans="1:19" ht="14.4" x14ac:dyDescent="0.3">
      <c r="A34" t="s">
        <v>110</v>
      </c>
      <c r="B34" t="s">
        <v>410</v>
      </c>
      <c r="C34" t="s">
        <v>411</v>
      </c>
      <c r="D34" s="6" t="s">
        <v>418</v>
      </c>
      <c r="H34" t="s">
        <v>336</v>
      </c>
      <c r="I34" t="s">
        <v>412</v>
      </c>
      <c r="J34" t="s">
        <v>413</v>
      </c>
      <c r="K34" t="s">
        <v>427</v>
      </c>
      <c r="L34" t="s">
        <v>29</v>
      </c>
      <c r="M34" t="s">
        <v>339</v>
      </c>
      <c r="N34" s="7">
        <v>1.9</v>
      </c>
      <c r="O34" s="7">
        <v>1.93</v>
      </c>
      <c r="P34" t="s">
        <v>422</v>
      </c>
      <c r="Q34" s="7" t="s">
        <v>160</v>
      </c>
      <c r="R34" t="s">
        <v>369</v>
      </c>
      <c r="S34" t="s">
        <v>425</v>
      </c>
    </row>
    <row r="35" spans="1:19" ht="14.4" x14ac:dyDescent="0.3">
      <c r="A35" t="s">
        <v>110</v>
      </c>
      <c r="B35" t="s">
        <v>410</v>
      </c>
      <c r="C35" t="s">
        <v>411</v>
      </c>
      <c r="D35" s="6" t="s">
        <v>418</v>
      </c>
      <c r="E35" s="3"/>
      <c r="F35" s="3"/>
      <c r="H35" t="s">
        <v>336</v>
      </c>
      <c r="I35" t="s">
        <v>412</v>
      </c>
      <c r="J35" t="s">
        <v>413</v>
      </c>
      <c r="K35" s="3" t="s">
        <v>428</v>
      </c>
      <c r="L35" t="s">
        <v>29</v>
      </c>
      <c r="M35" t="s">
        <v>339</v>
      </c>
      <c r="N35" s="19">
        <v>10.42</v>
      </c>
      <c r="O35" s="19">
        <v>48.03</v>
      </c>
      <c r="P35" t="s">
        <v>416</v>
      </c>
      <c r="Q35" s="7" t="s">
        <v>72</v>
      </c>
      <c r="R35" t="s">
        <v>369</v>
      </c>
      <c r="S35" s="3" t="s">
        <v>425</v>
      </c>
    </row>
    <row r="36" spans="1:19" ht="14.4" x14ac:dyDescent="0.3">
      <c r="A36" t="s">
        <v>110</v>
      </c>
      <c r="B36" t="s">
        <v>410</v>
      </c>
      <c r="C36" t="s">
        <v>411</v>
      </c>
      <c r="D36" s="6" t="s">
        <v>418</v>
      </c>
      <c r="H36" t="s">
        <v>336</v>
      </c>
      <c r="I36" t="s">
        <v>412</v>
      </c>
      <c r="J36" t="s">
        <v>413</v>
      </c>
      <c r="K36" t="s">
        <v>429</v>
      </c>
      <c r="L36" t="s">
        <v>29</v>
      </c>
      <c r="M36" t="s">
        <v>339</v>
      </c>
      <c r="N36" s="7">
        <v>5.67</v>
      </c>
      <c r="O36" s="7">
        <v>9.1</v>
      </c>
      <c r="P36" t="s">
        <v>422</v>
      </c>
      <c r="Q36" s="7" t="s">
        <v>160</v>
      </c>
      <c r="R36" t="s">
        <v>369</v>
      </c>
      <c r="S36" t="s">
        <v>425</v>
      </c>
    </row>
    <row r="37" spans="1:19" ht="14.4" x14ac:dyDescent="0.3">
      <c r="A37" t="s">
        <v>110</v>
      </c>
      <c r="B37" t="s">
        <v>410</v>
      </c>
      <c r="C37" t="s">
        <v>411</v>
      </c>
      <c r="D37" s="6" t="s">
        <v>418</v>
      </c>
      <c r="H37" t="s">
        <v>336</v>
      </c>
      <c r="I37" t="s">
        <v>412</v>
      </c>
      <c r="J37" t="s">
        <v>413</v>
      </c>
      <c r="K37" t="s">
        <v>430</v>
      </c>
      <c r="L37" t="s">
        <v>29</v>
      </c>
      <c r="M37" t="s">
        <v>339</v>
      </c>
      <c r="N37" s="7">
        <v>2.46</v>
      </c>
      <c r="O37" s="7">
        <v>13.02</v>
      </c>
      <c r="P37" t="s">
        <v>422</v>
      </c>
      <c r="Q37" s="7" t="s">
        <v>160</v>
      </c>
      <c r="R37" t="s">
        <v>369</v>
      </c>
      <c r="S37" t="s">
        <v>425</v>
      </c>
    </row>
    <row r="38" spans="1:19" ht="14.4" x14ac:dyDescent="0.3">
      <c r="A38" t="s">
        <v>110</v>
      </c>
      <c r="B38" t="s">
        <v>410</v>
      </c>
      <c r="C38" t="s">
        <v>411</v>
      </c>
      <c r="D38" s="6" t="s">
        <v>418</v>
      </c>
      <c r="H38" t="s">
        <v>431</v>
      </c>
      <c r="I38" t="s">
        <v>412</v>
      </c>
      <c r="J38" t="s">
        <v>413</v>
      </c>
      <c r="K38" t="s">
        <v>432</v>
      </c>
      <c r="L38" t="s">
        <v>29</v>
      </c>
      <c r="M38" t="s">
        <v>31</v>
      </c>
      <c r="N38" s="26" t="s">
        <v>25</v>
      </c>
      <c r="O38" s="10" t="s">
        <v>433</v>
      </c>
      <c r="P38" s="2" t="s">
        <v>434</v>
      </c>
      <c r="Q38" s="7" t="s">
        <v>72</v>
      </c>
      <c r="R38" t="s">
        <v>369</v>
      </c>
      <c r="S38" t="s">
        <v>435</v>
      </c>
    </row>
    <row r="39" spans="1:19" ht="14.4" x14ac:dyDescent="0.3">
      <c r="A39" t="s">
        <v>110</v>
      </c>
      <c r="B39" t="s">
        <v>410</v>
      </c>
      <c r="C39" t="s">
        <v>411</v>
      </c>
      <c r="D39" s="6" t="s">
        <v>418</v>
      </c>
      <c r="H39" t="s">
        <v>431</v>
      </c>
      <c r="I39" t="s">
        <v>412</v>
      </c>
      <c r="J39" t="s">
        <v>413</v>
      </c>
      <c r="K39" t="s">
        <v>436</v>
      </c>
      <c r="L39" t="s">
        <v>29</v>
      </c>
      <c r="M39" t="s">
        <v>31</v>
      </c>
      <c r="N39" s="26" t="s">
        <v>25</v>
      </c>
      <c r="O39" s="10" t="s">
        <v>437</v>
      </c>
      <c r="P39" s="2" t="s">
        <v>434</v>
      </c>
      <c r="Q39" s="7" t="s">
        <v>72</v>
      </c>
      <c r="R39" t="s">
        <v>369</v>
      </c>
      <c r="S39" t="s">
        <v>435</v>
      </c>
    </row>
    <row r="40" spans="1:19" ht="14.4" x14ac:dyDescent="0.3">
      <c r="A40" s="3" t="s">
        <v>110</v>
      </c>
      <c r="B40" s="3" t="s">
        <v>111</v>
      </c>
      <c r="C40" s="3" t="s">
        <v>112</v>
      </c>
      <c r="D40" s="19" t="s">
        <v>113</v>
      </c>
      <c r="E40" s="3" t="s">
        <v>114</v>
      </c>
      <c r="F40" s="3" t="s">
        <v>25</v>
      </c>
      <c r="G40" t="s">
        <v>30</v>
      </c>
      <c r="H40" t="s">
        <v>431</v>
      </c>
      <c r="J40" t="s">
        <v>115</v>
      </c>
      <c r="K40" s="3" t="s">
        <v>46</v>
      </c>
      <c r="L40" s="3" t="s">
        <v>29</v>
      </c>
      <c r="M40" s="3" t="s">
        <v>31</v>
      </c>
      <c r="N40" s="19" t="s">
        <v>114</v>
      </c>
      <c r="O40" s="19" t="s">
        <v>114</v>
      </c>
      <c r="P40" t="s">
        <v>422</v>
      </c>
      <c r="Q40" s="7"/>
      <c r="R40" t="s">
        <v>47</v>
      </c>
      <c r="S40" s="3"/>
    </row>
    <row r="41" spans="1:19" ht="14.4" x14ac:dyDescent="0.3">
      <c r="A41" s="3" t="s">
        <v>21</v>
      </c>
      <c r="B41" s="3" t="s">
        <v>438</v>
      </c>
      <c r="C41" s="3" t="s">
        <v>439</v>
      </c>
      <c r="D41" s="1" t="s">
        <v>196</v>
      </c>
      <c r="H41" t="s">
        <v>336</v>
      </c>
      <c r="I41" t="s">
        <v>412</v>
      </c>
      <c r="J41" t="s">
        <v>440</v>
      </c>
      <c r="K41" t="s">
        <v>441</v>
      </c>
      <c r="L41" s="3" t="s">
        <v>29</v>
      </c>
      <c r="M41" s="3" t="s">
        <v>31</v>
      </c>
      <c r="N41" s="34" t="s">
        <v>25</v>
      </c>
      <c r="O41" s="20" t="s">
        <v>442</v>
      </c>
      <c r="P41" s="2" t="s">
        <v>434</v>
      </c>
      <c r="Q41" s="10" t="s">
        <v>121</v>
      </c>
      <c r="R41" t="s">
        <v>397</v>
      </c>
      <c r="S41" s="3" t="s">
        <v>443</v>
      </c>
    </row>
    <row r="42" spans="1:19" ht="14.4" x14ac:dyDescent="0.3">
      <c r="A42" s="3" t="s">
        <v>21</v>
      </c>
      <c r="B42" s="3" t="s">
        <v>438</v>
      </c>
      <c r="C42" s="3" t="s">
        <v>439</v>
      </c>
      <c r="D42" s="1" t="s">
        <v>444</v>
      </c>
      <c r="H42" t="s">
        <v>336</v>
      </c>
      <c r="I42" t="s">
        <v>412</v>
      </c>
      <c r="J42" t="s">
        <v>440</v>
      </c>
      <c r="K42" t="s">
        <v>441</v>
      </c>
      <c r="L42" s="3" t="s">
        <v>29</v>
      </c>
      <c r="M42" s="3" t="s">
        <v>31</v>
      </c>
      <c r="N42" s="34" t="s">
        <v>25</v>
      </c>
      <c r="O42" s="20" t="s">
        <v>445</v>
      </c>
      <c r="P42" s="2" t="s">
        <v>434</v>
      </c>
      <c r="Q42" s="10" t="s">
        <v>121</v>
      </c>
      <c r="R42" t="s">
        <v>397</v>
      </c>
      <c r="S42" s="3" t="s">
        <v>446</v>
      </c>
    </row>
    <row r="43" spans="1:19" ht="14.4" x14ac:dyDescent="0.3">
      <c r="A43" s="3" t="s">
        <v>21</v>
      </c>
      <c r="B43" s="3" t="s">
        <v>438</v>
      </c>
      <c r="C43" s="3" t="s">
        <v>439</v>
      </c>
      <c r="D43" s="1" t="s">
        <v>444</v>
      </c>
      <c r="H43" t="s">
        <v>336</v>
      </c>
      <c r="I43" t="s">
        <v>412</v>
      </c>
      <c r="J43" t="s">
        <v>440</v>
      </c>
      <c r="K43" t="s">
        <v>441</v>
      </c>
      <c r="L43" s="3" t="s">
        <v>29</v>
      </c>
      <c r="M43" s="3" t="s">
        <v>31</v>
      </c>
      <c r="N43" s="34" t="s">
        <v>25</v>
      </c>
      <c r="O43" s="20" t="s">
        <v>447</v>
      </c>
      <c r="P43" s="2" t="s">
        <v>434</v>
      </c>
      <c r="Q43" s="10" t="s">
        <v>65</v>
      </c>
      <c r="R43" t="s">
        <v>397</v>
      </c>
      <c r="S43" s="3" t="s">
        <v>448</v>
      </c>
    </row>
    <row r="44" spans="1:19" ht="14.4" x14ac:dyDescent="0.3">
      <c r="A44" s="3" t="s">
        <v>21</v>
      </c>
      <c r="B44" s="3" t="s">
        <v>438</v>
      </c>
      <c r="C44" s="3" t="s">
        <v>439</v>
      </c>
      <c r="D44" s="1" t="s">
        <v>444</v>
      </c>
      <c r="H44" t="s">
        <v>336</v>
      </c>
      <c r="I44" t="s">
        <v>412</v>
      </c>
      <c r="J44" t="s">
        <v>440</v>
      </c>
      <c r="K44" t="s">
        <v>441</v>
      </c>
      <c r="L44" s="3" t="s">
        <v>29</v>
      </c>
      <c r="M44" s="3" t="s">
        <v>31</v>
      </c>
      <c r="N44" s="34" t="s">
        <v>25</v>
      </c>
      <c r="O44" s="34" t="s">
        <v>25</v>
      </c>
      <c r="P44" s="2" t="s">
        <v>422</v>
      </c>
      <c r="Q44" s="10" t="s">
        <v>449</v>
      </c>
      <c r="R44" t="s">
        <v>47</v>
      </c>
      <c r="S44" s="3" t="s">
        <v>450</v>
      </c>
    </row>
    <row r="45" spans="1:19" ht="14.4" x14ac:dyDescent="0.3">
      <c r="A45" s="3" t="s">
        <v>21</v>
      </c>
      <c r="B45" s="3" t="s">
        <v>438</v>
      </c>
      <c r="C45" s="3" t="s">
        <v>439</v>
      </c>
      <c r="D45" s="48" t="s">
        <v>196</v>
      </c>
      <c r="E45" s="3"/>
      <c r="F45" s="3"/>
      <c r="H45" t="s">
        <v>451</v>
      </c>
      <c r="J45" t="s">
        <v>440</v>
      </c>
      <c r="K45" t="s">
        <v>441</v>
      </c>
      <c r="L45" s="3" t="s">
        <v>29</v>
      </c>
      <c r="M45" s="3" t="s">
        <v>452</v>
      </c>
      <c r="N45" s="19" t="s">
        <v>453</v>
      </c>
      <c r="O45" s="19" t="s">
        <v>454</v>
      </c>
      <c r="P45" s="34" t="s">
        <v>25</v>
      </c>
      <c r="Q45" s="34" t="s">
        <v>25</v>
      </c>
      <c r="R45" t="s">
        <v>369</v>
      </c>
      <c r="S45" s="3" t="s">
        <v>455</v>
      </c>
    </row>
    <row r="46" spans="1:19" ht="14.4" x14ac:dyDescent="0.3">
      <c r="A46" s="3" t="s">
        <v>21</v>
      </c>
      <c r="B46" s="3" t="s">
        <v>22</v>
      </c>
      <c r="C46" s="3" t="s">
        <v>23</v>
      </c>
      <c r="D46" s="7" t="s">
        <v>24</v>
      </c>
      <c r="E46" s="3" t="s">
        <v>25</v>
      </c>
      <c r="F46" s="48">
        <v>-0.32</v>
      </c>
      <c r="G46" t="s">
        <v>30</v>
      </c>
      <c r="H46" t="s">
        <v>451</v>
      </c>
      <c r="I46" t="s">
        <v>337</v>
      </c>
      <c r="J46" t="s">
        <v>148</v>
      </c>
      <c r="K46" t="s">
        <v>456</v>
      </c>
      <c r="L46" s="3" t="s">
        <v>29</v>
      </c>
      <c r="M46" s="3" t="s">
        <v>31</v>
      </c>
      <c r="N46" s="19" t="s">
        <v>457</v>
      </c>
      <c r="O46" s="19" t="s">
        <v>458</v>
      </c>
      <c r="P46" s="34" t="s">
        <v>25</v>
      </c>
      <c r="Q46" s="34" t="s">
        <v>25</v>
      </c>
      <c r="R46" t="s">
        <v>369</v>
      </c>
      <c r="S46" s="3" t="s">
        <v>322</v>
      </c>
    </row>
    <row r="47" spans="1:19" ht="14.4" x14ac:dyDescent="0.3">
      <c r="A47" s="3" t="s">
        <v>21</v>
      </c>
      <c r="B47" s="3" t="s">
        <v>22</v>
      </c>
      <c r="C47" s="3" t="s">
        <v>23</v>
      </c>
      <c r="D47" s="19" t="s">
        <v>24</v>
      </c>
      <c r="H47" t="s">
        <v>336</v>
      </c>
      <c r="I47" t="s">
        <v>337</v>
      </c>
      <c r="J47" t="s">
        <v>148</v>
      </c>
      <c r="K47" t="s">
        <v>459</v>
      </c>
      <c r="L47" s="3" t="s">
        <v>29</v>
      </c>
      <c r="M47" s="3" t="s">
        <v>460</v>
      </c>
      <c r="N47" s="19" t="s">
        <v>461</v>
      </c>
      <c r="O47" s="19" t="s">
        <v>462</v>
      </c>
      <c r="P47" s="34" t="s">
        <v>25</v>
      </c>
      <c r="Q47" s="34" t="s">
        <v>25</v>
      </c>
      <c r="R47" t="s">
        <v>397</v>
      </c>
      <c r="S47" s="3" t="s">
        <v>322</v>
      </c>
    </row>
    <row r="48" spans="1:19" ht="14.4" x14ac:dyDescent="0.3">
      <c r="A48" s="3" t="s">
        <v>21</v>
      </c>
      <c r="B48" s="3" t="s">
        <v>22</v>
      </c>
      <c r="C48" s="3" t="s">
        <v>23</v>
      </c>
      <c r="D48" s="7" t="s">
        <v>24</v>
      </c>
      <c r="E48" s="3"/>
      <c r="F48" s="3"/>
      <c r="H48" t="s">
        <v>336</v>
      </c>
      <c r="I48" t="s">
        <v>337</v>
      </c>
      <c r="J48" t="s">
        <v>148</v>
      </c>
      <c r="K48" t="s">
        <v>463</v>
      </c>
      <c r="L48" s="3" t="s">
        <v>29</v>
      </c>
      <c r="M48" s="3" t="s">
        <v>460</v>
      </c>
      <c r="N48" s="19" t="s">
        <v>464</v>
      </c>
      <c r="O48" s="19" t="s">
        <v>465</v>
      </c>
      <c r="P48" s="34" t="s">
        <v>25</v>
      </c>
      <c r="Q48" s="34" t="s">
        <v>25</v>
      </c>
      <c r="R48" t="s">
        <v>397</v>
      </c>
      <c r="S48" s="3" t="s">
        <v>322</v>
      </c>
    </row>
    <row r="49" spans="1:19" ht="14.4" x14ac:dyDescent="0.3">
      <c r="A49" s="3" t="s">
        <v>21</v>
      </c>
      <c r="B49" s="3" t="s">
        <v>151</v>
      </c>
      <c r="C49" s="3" t="s">
        <v>23</v>
      </c>
      <c r="D49" s="19" t="s">
        <v>24</v>
      </c>
      <c r="H49" t="s">
        <v>431</v>
      </c>
      <c r="I49" t="s">
        <v>337</v>
      </c>
      <c r="J49" t="s">
        <v>153</v>
      </c>
      <c r="K49" t="s">
        <v>154</v>
      </c>
      <c r="L49" s="3" t="s">
        <v>29</v>
      </c>
      <c r="M49" s="3" t="s">
        <v>466</v>
      </c>
      <c r="N49" s="19">
        <v>3.5999999999999997E-2</v>
      </c>
      <c r="O49" s="19">
        <v>5.8999999999999997E-2</v>
      </c>
      <c r="P49" s="34" t="s">
        <v>25</v>
      </c>
      <c r="Q49" s="34" t="s">
        <v>25</v>
      </c>
      <c r="R49" t="s">
        <v>369</v>
      </c>
      <c r="S49" s="3" t="s">
        <v>467</v>
      </c>
    </row>
    <row r="50" spans="1:19" ht="14.4" x14ac:dyDescent="0.3">
      <c r="A50" s="3" t="s">
        <v>21</v>
      </c>
      <c r="B50" s="3" t="s">
        <v>151</v>
      </c>
      <c r="C50" s="3" t="s">
        <v>23</v>
      </c>
      <c r="D50" s="7" t="s">
        <v>24</v>
      </c>
      <c r="E50" s="3"/>
      <c r="F50" s="3"/>
      <c r="H50" t="s">
        <v>431</v>
      </c>
      <c r="I50" t="s">
        <v>337</v>
      </c>
      <c r="J50" t="s">
        <v>153</v>
      </c>
      <c r="K50" t="s">
        <v>161</v>
      </c>
      <c r="L50" s="3" t="s">
        <v>29</v>
      </c>
      <c r="M50" s="3" t="s">
        <v>466</v>
      </c>
      <c r="N50" s="19">
        <v>3.5999999999999997E-2</v>
      </c>
      <c r="O50" s="19">
        <v>5.2999999999999999E-2</v>
      </c>
      <c r="P50" s="34" t="s">
        <v>25</v>
      </c>
      <c r="Q50" s="34" t="s">
        <v>25</v>
      </c>
      <c r="R50" t="s">
        <v>369</v>
      </c>
      <c r="S50" s="3" t="s">
        <v>468</v>
      </c>
    </row>
    <row r="51" spans="1:19" ht="14.4" x14ac:dyDescent="0.3">
      <c r="A51" s="3" t="s">
        <v>21</v>
      </c>
      <c r="B51" s="3" t="s">
        <v>151</v>
      </c>
      <c r="C51" s="3" t="s">
        <v>23</v>
      </c>
      <c r="D51" s="7" t="s">
        <v>24</v>
      </c>
      <c r="H51" t="s">
        <v>469</v>
      </c>
      <c r="I51" t="s">
        <v>337</v>
      </c>
      <c r="J51" t="s">
        <v>153</v>
      </c>
      <c r="K51" t="s">
        <v>154</v>
      </c>
      <c r="L51" s="3" t="s">
        <v>29</v>
      </c>
      <c r="M51" s="3" t="s">
        <v>470</v>
      </c>
      <c r="N51" s="34" t="s">
        <v>25</v>
      </c>
      <c r="O51" s="19">
        <v>0.79</v>
      </c>
      <c r="P51" s="34" t="s">
        <v>25</v>
      </c>
      <c r="Q51" s="34" t="s">
        <v>25</v>
      </c>
      <c r="R51" t="s">
        <v>342</v>
      </c>
      <c r="S51" s="3" t="s">
        <v>467</v>
      </c>
    </row>
    <row r="52" spans="1:19" ht="14.4" x14ac:dyDescent="0.3">
      <c r="A52" s="3" t="s">
        <v>21</v>
      </c>
      <c r="B52" s="3" t="s">
        <v>151</v>
      </c>
      <c r="C52" s="3" t="s">
        <v>23</v>
      </c>
      <c r="D52" s="7" t="s">
        <v>24</v>
      </c>
      <c r="H52" t="s">
        <v>469</v>
      </c>
      <c r="I52" t="s">
        <v>337</v>
      </c>
      <c r="J52" t="s">
        <v>153</v>
      </c>
      <c r="K52" t="s">
        <v>161</v>
      </c>
      <c r="L52" s="3" t="s">
        <v>29</v>
      </c>
      <c r="M52" s="3" t="s">
        <v>470</v>
      </c>
      <c r="N52" s="34" t="s">
        <v>25</v>
      </c>
      <c r="O52" s="19">
        <v>0.37</v>
      </c>
      <c r="P52" s="34" t="s">
        <v>25</v>
      </c>
      <c r="Q52" s="34" t="s">
        <v>25</v>
      </c>
      <c r="R52" t="s">
        <v>342</v>
      </c>
      <c r="S52" s="3" t="s">
        <v>468</v>
      </c>
    </row>
    <row r="53" spans="1:19" s="38" customFormat="1" ht="14.4" x14ac:dyDescent="0.3">
      <c r="A53" s="36" t="s">
        <v>182</v>
      </c>
      <c r="B53" s="36" t="s">
        <v>183</v>
      </c>
      <c r="C53" s="36" t="s">
        <v>184</v>
      </c>
      <c r="D53" s="44">
        <v>1</v>
      </c>
      <c r="H53" s="38" t="s">
        <v>336</v>
      </c>
      <c r="I53" s="38" t="s">
        <v>228</v>
      </c>
      <c r="J53" s="38" t="s">
        <v>186</v>
      </c>
      <c r="K53" s="38" t="s">
        <v>191</v>
      </c>
      <c r="L53" s="36" t="s">
        <v>29</v>
      </c>
      <c r="M53" s="36" t="s">
        <v>460</v>
      </c>
      <c r="N53" s="52" t="s">
        <v>25</v>
      </c>
      <c r="O53" s="39">
        <v>0.53</v>
      </c>
      <c r="P53" s="52" t="s">
        <v>25</v>
      </c>
      <c r="Q53" s="52" t="s">
        <v>25</v>
      </c>
      <c r="R53" s="38" t="s">
        <v>342</v>
      </c>
      <c r="S53" s="36"/>
    </row>
    <row r="54" spans="1:19" s="38" customFormat="1" ht="14.4" x14ac:dyDescent="0.3">
      <c r="A54" s="36" t="s">
        <v>182</v>
      </c>
      <c r="B54" s="36" t="s">
        <v>183</v>
      </c>
      <c r="C54" s="36" t="s">
        <v>184</v>
      </c>
      <c r="D54" s="44">
        <v>1</v>
      </c>
      <c r="H54" s="38" t="s">
        <v>336</v>
      </c>
      <c r="I54" s="38" t="s">
        <v>228</v>
      </c>
      <c r="J54" s="38" t="s">
        <v>186</v>
      </c>
      <c r="K54" s="38" t="s">
        <v>187</v>
      </c>
      <c r="L54" s="36" t="s">
        <v>29</v>
      </c>
      <c r="M54" s="36" t="s">
        <v>460</v>
      </c>
      <c r="N54" s="52" t="s">
        <v>25</v>
      </c>
      <c r="O54" s="39">
        <v>0.7</v>
      </c>
      <c r="P54" s="52" t="s">
        <v>25</v>
      </c>
      <c r="Q54" s="52" t="s">
        <v>25</v>
      </c>
      <c r="R54" s="38" t="s">
        <v>342</v>
      </c>
      <c r="S54" s="36"/>
    </row>
    <row r="55" spans="1:19" s="38" customFormat="1" ht="14.4" x14ac:dyDescent="0.3">
      <c r="A55" s="36" t="s">
        <v>182</v>
      </c>
      <c r="B55" s="36" t="s">
        <v>183</v>
      </c>
      <c r="C55" s="36" t="s">
        <v>184</v>
      </c>
      <c r="D55" s="44">
        <v>1</v>
      </c>
      <c r="H55" s="38" t="s">
        <v>451</v>
      </c>
      <c r="I55" s="38" t="s">
        <v>228</v>
      </c>
      <c r="J55" s="38" t="s">
        <v>186</v>
      </c>
      <c r="K55" s="38" t="s">
        <v>191</v>
      </c>
      <c r="L55" s="36" t="s">
        <v>29</v>
      </c>
      <c r="M55" s="36" t="s">
        <v>31</v>
      </c>
      <c r="N55" s="52" t="s">
        <v>25</v>
      </c>
      <c r="O55" s="58">
        <v>0.65</v>
      </c>
      <c r="P55" s="52" t="s">
        <v>25</v>
      </c>
      <c r="Q55" s="52" t="s">
        <v>25</v>
      </c>
      <c r="R55" s="38" t="s">
        <v>342</v>
      </c>
      <c r="S55" s="36"/>
    </row>
    <row r="56" spans="1:19" s="38" customFormat="1" ht="14.4" x14ac:dyDescent="0.3">
      <c r="A56" s="36" t="s">
        <v>182</v>
      </c>
      <c r="B56" s="36" t="s">
        <v>183</v>
      </c>
      <c r="C56" s="36" t="s">
        <v>184</v>
      </c>
      <c r="D56" s="44">
        <v>1</v>
      </c>
      <c r="H56" s="38" t="s">
        <v>451</v>
      </c>
      <c r="I56" s="38" t="s">
        <v>228</v>
      </c>
      <c r="J56" s="38" t="s">
        <v>186</v>
      </c>
      <c r="K56" s="38" t="s">
        <v>187</v>
      </c>
      <c r="L56" s="36" t="s">
        <v>29</v>
      </c>
      <c r="M56" s="36" t="s">
        <v>31</v>
      </c>
      <c r="N56" s="52" t="s">
        <v>25</v>
      </c>
      <c r="O56" s="59">
        <v>0.69399999999999995</v>
      </c>
      <c r="P56" s="52" t="s">
        <v>25</v>
      </c>
      <c r="Q56" s="52" t="s">
        <v>25</v>
      </c>
      <c r="R56" s="38" t="s">
        <v>342</v>
      </c>
      <c r="S56" s="36"/>
    </row>
    <row r="57" spans="1:19" s="38" customFormat="1" ht="14.4" x14ac:dyDescent="0.3">
      <c r="A57" s="3" t="s">
        <v>110</v>
      </c>
      <c r="B57" s="3" t="s">
        <v>53</v>
      </c>
      <c r="C57" s="3" t="s">
        <v>23</v>
      </c>
      <c r="D57" s="6">
        <v>0.18</v>
      </c>
      <c r="E57">
        <f>11-27%</f>
        <v>10.73</v>
      </c>
      <c r="F57" t="s">
        <v>471</v>
      </c>
      <c r="G57" t="s">
        <v>103</v>
      </c>
      <c r="H57" t="s">
        <v>431</v>
      </c>
      <c r="I57" t="s">
        <v>337</v>
      </c>
      <c r="J57" t="s">
        <v>199</v>
      </c>
      <c r="K57" t="s">
        <v>46</v>
      </c>
      <c r="L57" s="3" t="s">
        <v>29</v>
      </c>
      <c r="M57" s="3" t="s">
        <v>31</v>
      </c>
      <c r="N57" s="17" t="s">
        <v>25</v>
      </c>
      <c r="O57" s="10" t="s">
        <v>472</v>
      </c>
      <c r="P57" s="34" t="s">
        <v>25</v>
      </c>
      <c r="Q57" s="34" t="s">
        <v>25</v>
      </c>
      <c r="R57" t="s">
        <v>369</v>
      </c>
      <c r="S57" s="3" t="s">
        <v>216</v>
      </c>
    </row>
    <row r="58" spans="1:19" s="38" customFormat="1" ht="14.4" x14ac:dyDescent="0.3">
      <c r="A58" s="3" t="s">
        <v>110</v>
      </c>
      <c r="B58" s="3" t="s">
        <v>53</v>
      </c>
      <c r="C58" s="3" t="s">
        <v>23</v>
      </c>
      <c r="D58" s="6">
        <v>0.18</v>
      </c>
      <c r="E58" t="s">
        <v>471</v>
      </c>
      <c r="F58"/>
      <c r="G58"/>
      <c r="H58" t="s">
        <v>473</v>
      </c>
      <c r="I58" t="s">
        <v>337</v>
      </c>
      <c r="J58" t="s">
        <v>199</v>
      </c>
      <c r="K58" t="s">
        <v>212</v>
      </c>
      <c r="L58" s="3" t="s">
        <v>29</v>
      </c>
      <c r="M58" s="3" t="s">
        <v>474</v>
      </c>
      <c r="N58" s="28">
        <v>0.28000000000000003</v>
      </c>
      <c r="O58" s="7">
        <v>0.36</v>
      </c>
      <c r="P58" s="34" t="s">
        <v>25</v>
      </c>
      <c r="Q58" s="34" t="s">
        <v>25</v>
      </c>
      <c r="R58" t="s">
        <v>369</v>
      </c>
      <c r="S58" s="3" t="s">
        <v>475</v>
      </c>
    </row>
    <row r="59" spans="1:19" ht="14.4" x14ac:dyDescent="0.3">
      <c r="A59" s="3" t="s">
        <v>110</v>
      </c>
      <c r="B59" s="3" t="s">
        <v>53</v>
      </c>
      <c r="C59" s="3" t="s">
        <v>23</v>
      </c>
      <c r="D59" s="6">
        <v>0.18</v>
      </c>
      <c r="E59" s="3" t="s">
        <v>471</v>
      </c>
      <c r="F59" s="3"/>
      <c r="H59" t="s">
        <v>473</v>
      </c>
      <c r="I59" t="s">
        <v>337</v>
      </c>
      <c r="J59" t="s">
        <v>199</v>
      </c>
      <c r="K59" t="s">
        <v>210</v>
      </c>
      <c r="L59" s="3" t="s">
        <v>29</v>
      </c>
      <c r="M59" s="3" t="s">
        <v>476</v>
      </c>
      <c r="N59" s="27">
        <v>0.35</v>
      </c>
      <c r="O59" s="19">
        <v>0.39</v>
      </c>
      <c r="P59" s="34" t="s">
        <v>25</v>
      </c>
      <c r="Q59" s="34" t="s">
        <v>25</v>
      </c>
      <c r="R59" t="s">
        <v>369</v>
      </c>
      <c r="S59" s="3" t="s">
        <v>475</v>
      </c>
    </row>
    <row r="60" spans="1:19" ht="14.4" x14ac:dyDescent="0.3">
      <c r="A60" s="3" t="s">
        <v>110</v>
      </c>
      <c r="B60" s="3" t="s">
        <v>53</v>
      </c>
      <c r="C60" s="3" t="s">
        <v>23</v>
      </c>
      <c r="D60" s="6">
        <v>0.18</v>
      </c>
      <c r="E60" t="s">
        <v>471</v>
      </c>
      <c r="H60" t="s">
        <v>473</v>
      </c>
      <c r="I60" t="s">
        <v>337</v>
      </c>
      <c r="J60" t="s">
        <v>199</v>
      </c>
      <c r="K60" t="s">
        <v>200</v>
      </c>
      <c r="L60" t="s">
        <v>29</v>
      </c>
      <c r="M60" s="3" t="s">
        <v>477</v>
      </c>
      <c r="N60" s="19">
        <v>0.36</v>
      </c>
      <c r="O60" s="19">
        <v>0.39</v>
      </c>
      <c r="P60" s="34" t="s">
        <v>25</v>
      </c>
      <c r="Q60" s="34" t="s">
        <v>25</v>
      </c>
      <c r="R60" t="s">
        <v>369</v>
      </c>
      <c r="S60" s="3" t="s">
        <v>475</v>
      </c>
    </row>
    <row r="61" spans="1:19" ht="14.4" x14ac:dyDescent="0.3">
      <c r="A61" t="s">
        <v>110</v>
      </c>
      <c r="B61" t="s">
        <v>53</v>
      </c>
      <c r="C61" t="s">
        <v>23</v>
      </c>
      <c r="D61" s="6">
        <v>0.18</v>
      </c>
      <c r="E61" t="s">
        <v>471</v>
      </c>
      <c r="H61" t="s">
        <v>473</v>
      </c>
      <c r="I61" t="s">
        <v>337</v>
      </c>
      <c r="J61" t="s">
        <v>199</v>
      </c>
      <c r="K61" s="3" t="s">
        <v>205</v>
      </c>
      <c r="L61" t="s">
        <v>29</v>
      </c>
      <c r="M61" s="3" t="s">
        <v>478</v>
      </c>
      <c r="N61" s="27">
        <v>0.34</v>
      </c>
      <c r="O61" s="19">
        <v>0.42</v>
      </c>
      <c r="P61" s="34" t="s">
        <v>25</v>
      </c>
      <c r="Q61" s="34" t="s">
        <v>25</v>
      </c>
      <c r="R61" t="s">
        <v>369</v>
      </c>
      <c r="S61" s="3" t="s">
        <v>475</v>
      </c>
    </row>
    <row r="62" spans="1:19" ht="14.4" x14ac:dyDescent="0.3">
      <c r="A62" t="s">
        <v>21</v>
      </c>
      <c r="B62" t="s">
        <v>217</v>
      </c>
      <c r="C62" t="s">
        <v>54</v>
      </c>
      <c r="D62" s="7" t="s">
        <v>218</v>
      </c>
      <c r="E62" t="s">
        <v>25</v>
      </c>
      <c r="F62" t="s">
        <v>241</v>
      </c>
      <c r="G62" t="s">
        <v>128</v>
      </c>
      <c r="H62" t="s">
        <v>479</v>
      </c>
      <c r="I62" t="s">
        <v>228</v>
      </c>
      <c r="J62" t="s">
        <v>219</v>
      </c>
      <c r="K62" s="3" t="s">
        <v>480</v>
      </c>
      <c r="L62" t="s">
        <v>29</v>
      </c>
      <c r="M62" s="3" t="s">
        <v>339</v>
      </c>
      <c r="N62" s="19">
        <v>23</v>
      </c>
      <c r="O62" s="19">
        <v>20</v>
      </c>
      <c r="P62" s="34" t="s">
        <v>25</v>
      </c>
      <c r="Q62" s="34" t="s">
        <v>25</v>
      </c>
      <c r="R62" t="s">
        <v>397</v>
      </c>
      <c r="S62" s="3" t="s">
        <v>475</v>
      </c>
    </row>
    <row r="63" spans="1:19" ht="14.4" x14ac:dyDescent="0.3">
      <c r="A63" t="s">
        <v>21</v>
      </c>
      <c r="B63" t="s">
        <v>217</v>
      </c>
      <c r="C63" t="s">
        <v>54</v>
      </c>
      <c r="D63" s="7" t="s">
        <v>218</v>
      </c>
      <c r="E63" t="s">
        <v>25</v>
      </c>
      <c r="F63" t="s">
        <v>241</v>
      </c>
      <c r="G63" t="s">
        <v>128</v>
      </c>
      <c r="H63" t="s">
        <v>479</v>
      </c>
      <c r="I63" t="s">
        <v>228</v>
      </c>
      <c r="J63" t="s">
        <v>219</v>
      </c>
      <c r="K63" t="s">
        <v>481</v>
      </c>
      <c r="L63" t="s">
        <v>29</v>
      </c>
      <c r="M63" s="3" t="s">
        <v>339</v>
      </c>
      <c r="N63" s="19">
        <v>19</v>
      </c>
      <c r="O63" s="19">
        <v>17</v>
      </c>
      <c r="P63" s="34" t="s">
        <v>25</v>
      </c>
      <c r="Q63" s="34" t="s">
        <v>25</v>
      </c>
      <c r="R63" t="s">
        <v>397</v>
      </c>
      <c r="S63" s="3" t="s">
        <v>475</v>
      </c>
    </row>
    <row r="64" spans="1:19" ht="14.4" x14ac:dyDescent="0.3">
      <c r="A64" t="s">
        <v>21</v>
      </c>
      <c r="B64" t="s">
        <v>217</v>
      </c>
      <c r="C64" t="s">
        <v>54</v>
      </c>
      <c r="D64" s="7" t="s">
        <v>218</v>
      </c>
      <c r="E64" t="s">
        <v>25</v>
      </c>
      <c r="F64" t="s">
        <v>241</v>
      </c>
      <c r="G64" t="s">
        <v>128</v>
      </c>
      <c r="H64" t="s">
        <v>479</v>
      </c>
      <c r="I64" t="s">
        <v>220</v>
      </c>
      <c r="J64" t="s">
        <v>219</v>
      </c>
      <c r="K64" t="s">
        <v>482</v>
      </c>
      <c r="L64" t="s">
        <v>29</v>
      </c>
      <c r="M64" s="3" t="s">
        <v>339</v>
      </c>
      <c r="N64" s="34">
        <v>30</v>
      </c>
      <c r="O64" s="19">
        <v>36</v>
      </c>
      <c r="P64" s="34" t="s">
        <v>25</v>
      </c>
      <c r="Q64" s="34" t="s">
        <v>25</v>
      </c>
      <c r="R64" t="s">
        <v>369</v>
      </c>
      <c r="S64" s="3" t="s">
        <v>475</v>
      </c>
    </row>
    <row r="65" spans="1:19" ht="14.4" x14ac:dyDescent="0.3">
      <c r="A65" t="s">
        <v>21</v>
      </c>
      <c r="B65" t="s">
        <v>217</v>
      </c>
      <c r="C65" t="s">
        <v>54</v>
      </c>
      <c r="D65" s="7" t="s">
        <v>218</v>
      </c>
      <c r="E65" t="s">
        <v>25</v>
      </c>
      <c r="F65" t="s">
        <v>241</v>
      </c>
      <c r="G65" t="s">
        <v>128</v>
      </c>
      <c r="H65" t="s">
        <v>479</v>
      </c>
      <c r="I65" t="s">
        <v>220</v>
      </c>
      <c r="J65" t="s">
        <v>219</v>
      </c>
      <c r="K65" s="3" t="s">
        <v>483</v>
      </c>
      <c r="L65" s="3" t="s">
        <v>29</v>
      </c>
      <c r="M65" s="3" t="s">
        <v>339</v>
      </c>
      <c r="N65" s="19">
        <v>28</v>
      </c>
      <c r="O65" s="19">
        <v>34</v>
      </c>
      <c r="P65" s="34" t="s">
        <v>25</v>
      </c>
      <c r="Q65" s="34" t="s">
        <v>25</v>
      </c>
      <c r="R65" t="s">
        <v>369</v>
      </c>
      <c r="S65" s="3" t="s">
        <v>475</v>
      </c>
    </row>
    <row r="66" spans="1:19" ht="14.4" x14ac:dyDescent="0.3">
      <c r="D66" s="1"/>
      <c r="M66" s="3"/>
      <c r="N66" s="19"/>
      <c r="O66" s="19"/>
      <c r="Q66" s="7"/>
      <c r="S66" s="3"/>
    </row>
    <row r="67" spans="1:19" ht="14.4" x14ac:dyDescent="0.3">
      <c r="D67" s="1"/>
      <c r="M67" s="3"/>
      <c r="N67" s="19"/>
      <c r="O67" s="19"/>
      <c r="Q67" s="7"/>
      <c r="S67" s="3"/>
    </row>
  </sheetData>
  <phoneticPr fontId="1" type="noConversion"/>
  <dataValidations count="1">
    <dataValidation allowBlank="1" sqref="M3:M6 J2:J36" xr:uid="{3F66751D-5207-4811-85CE-E877CB8A2AF7}"/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D88B7CCB-D748-4C37-B0CE-6CB56A1DE0F7}">
          <x14:formula1>
            <xm:f>Dropdown!$H$2:$H$4</xm:f>
          </x14:formula1>
          <xm:sqref>G15 G25 G61:G65</xm:sqref>
        </x14:dataValidation>
        <x14:dataValidation type="list" allowBlank="1" xr:uid="{F4EF04DB-673C-42B7-AEBB-8A1681DD984B}">
          <x14:formula1>
            <xm:f>Dropdown!$D$2:$D$12</xm:f>
          </x14:formula1>
          <xm:sqref>I63:I67 H2:H67</xm:sqref>
        </x14:dataValidation>
        <x14:dataValidation type="list" allowBlank="1" showInputMessage="1" showErrorMessage="1" xr:uid="{622B6F75-5B10-49E8-A665-0DD92E5E8FE2}">
          <x14:formula1>
            <xm:f>Dropdown!$A$2:$A$6</xm:f>
          </x14:formula1>
          <xm:sqref>L2:L67</xm:sqref>
        </x14:dataValidation>
        <x14:dataValidation type="list" allowBlank="1" xr:uid="{379E0C04-E239-4675-BAF1-BEE9E0C56AC2}">
          <x14:formula1>
            <xm:f>Dropdown!$D$13:$D$15</xm:f>
          </x14:formula1>
          <xm:sqref>I2:I62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83FF-7A4F-4DC7-80AC-60F48B2B1DD6}">
  <dimension ref="A1:H18"/>
  <sheetViews>
    <sheetView workbookViewId="0">
      <selection activeCell="D10" sqref="D10"/>
    </sheetView>
  </sheetViews>
  <sheetFormatPr defaultRowHeight="14.4" x14ac:dyDescent="0.3"/>
  <sheetData>
    <row r="1" spans="1:8" x14ac:dyDescent="0.3">
      <c r="A1" s="24" t="s">
        <v>335</v>
      </c>
      <c r="D1" s="24" t="s">
        <v>484</v>
      </c>
      <c r="H1" s="24" t="s">
        <v>485</v>
      </c>
    </row>
    <row r="2" spans="1:8" x14ac:dyDescent="0.3">
      <c r="A2" t="s">
        <v>29</v>
      </c>
      <c r="D2" t="s">
        <v>451</v>
      </c>
      <c r="H2" t="s">
        <v>30</v>
      </c>
    </row>
    <row r="3" spans="1:8" x14ac:dyDescent="0.3">
      <c r="A3" t="s">
        <v>355</v>
      </c>
      <c r="D3" t="s">
        <v>469</v>
      </c>
      <c r="H3" t="s">
        <v>128</v>
      </c>
    </row>
    <row r="4" spans="1:8" x14ac:dyDescent="0.3">
      <c r="A4" t="s">
        <v>42</v>
      </c>
      <c r="D4" t="s">
        <v>473</v>
      </c>
      <c r="H4" s="22" t="s">
        <v>25</v>
      </c>
    </row>
    <row r="5" spans="1:8" x14ac:dyDescent="0.3">
      <c r="D5" t="s">
        <v>336</v>
      </c>
    </row>
    <row r="6" spans="1:8" x14ac:dyDescent="0.3">
      <c r="D6" t="s">
        <v>431</v>
      </c>
    </row>
    <row r="7" spans="1:8" x14ac:dyDescent="0.3">
      <c r="D7" t="s">
        <v>391</v>
      </c>
    </row>
    <row r="8" spans="1:8" x14ac:dyDescent="0.3">
      <c r="D8" t="s">
        <v>479</v>
      </c>
    </row>
    <row r="9" spans="1:8" x14ac:dyDescent="0.3">
      <c r="D9" t="s">
        <v>375</v>
      </c>
    </row>
    <row r="12" spans="1:8" x14ac:dyDescent="0.3">
      <c r="A12" s="24" t="s">
        <v>19</v>
      </c>
      <c r="D12" s="24" t="s">
        <v>334</v>
      </c>
    </row>
    <row r="13" spans="1:8" x14ac:dyDescent="0.3">
      <c r="A13" t="s">
        <v>486</v>
      </c>
      <c r="D13" t="s">
        <v>412</v>
      </c>
    </row>
    <row r="14" spans="1:8" x14ac:dyDescent="0.3">
      <c r="A14" t="s">
        <v>179</v>
      </c>
      <c r="D14" t="s">
        <v>337</v>
      </c>
    </row>
    <row r="15" spans="1:8" x14ac:dyDescent="0.3">
      <c r="A15" t="s">
        <v>50</v>
      </c>
      <c r="D15" t="s">
        <v>487</v>
      </c>
    </row>
    <row r="16" spans="1:8" x14ac:dyDescent="0.3">
      <c r="A16" t="s">
        <v>34</v>
      </c>
    </row>
    <row r="17" spans="1:1" x14ac:dyDescent="0.3">
      <c r="A17" t="s">
        <v>265</v>
      </c>
    </row>
    <row r="18" spans="1:1" x14ac:dyDescent="0.3">
      <c r="A18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f_Time xmlns="b031f331-093e-4af9-b9a8-5fb9941cd8bc" xsi:nil="true"/>
    <Project xmlns="80727368-2d85-4693-8aca-8c33fb2339f5" xsi:nil="true"/>
    <IconOverlay xmlns="http://schemas.microsoft.com/sharepoint/v4" xsi:nil="true"/>
    <lcf76f155ced4ddcb4097134ff3c332f xmlns="b031f331-093e-4af9-b9a8-5fb9941cd8bc">
      <Terms xmlns="http://schemas.microsoft.com/office/infopath/2007/PartnerControls"/>
    </lcf76f155ced4ddcb4097134ff3c332f>
    <TaxCatchAll xmlns="61ea441e-408f-4c04-8adb-e628fdc370c0" xsi:nil="true"/>
    <SourceFile xmlns="b031f331-093e-4af9-b9a8-5fb9941cd8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84099C5946FA6344AFBC08FDA28BB5E3000F2A5536EED47B428001DEFDF00DB8CF" ma:contentTypeVersion="30" ma:contentTypeDescription="" ma:contentTypeScope="" ma:versionID="176ba9244d65569fbc794154c091970c">
  <xsd:schema xmlns:xsd="http://www.w3.org/2001/XMLSchema" xmlns:xs="http://www.w3.org/2001/XMLSchema" xmlns:p="http://schemas.microsoft.com/office/2006/metadata/properties" xmlns:ns2="80727368-2d85-4693-8aca-8c33fb2339f5" xmlns:ns3="http://schemas.microsoft.com/sharepoint/v4" xmlns:ns4="b031f331-093e-4af9-b9a8-5fb9941cd8bc" xmlns:ns5="61ea441e-408f-4c04-8adb-e628fdc370c0" targetNamespace="http://schemas.microsoft.com/office/2006/metadata/properties" ma:root="true" ma:fieldsID="449d6e54f497fffa24006d00a8e511dc" ns2:_="" ns3:_="" ns4:_="" ns5:_="">
    <xsd:import namespace="80727368-2d85-4693-8aca-8c33fb2339f5"/>
    <xsd:import namespace="http://schemas.microsoft.com/sharepoint/v4"/>
    <xsd:import namespace="b031f331-093e-4af9-b9a8-5fb9941cd8bc"/>
    <xsd:import namespace="61ea441e-408f-4c04-8adb-e628fdc370c0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Project_x003a_Description" minOccurs="0"/>
                <xsd:element ref="ns2:SharedWithUsers" minOccurs="0"/>
                <xsd:element ref="ns3:IconOverlay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5:TaxCatchAll" minOccurs="0"/>
                <xsd:element ref="ns4:lcf76f155ced4ddcb4097134ff3c332f" minOccurs="0"/>
                <xsd:element ref="ns4:Date_x002f_Time" minOccurs="0"/>
                <xsd:element ref="ns4:MediaServiceObjectDetectorVersions" minOccurs="0"/>
                <xsd:element ref="ns4:MediaServiceSearchProperties" minOccurs="0"/>
                <xsd:element ref="ns4:SourceFile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27368-2d85-4693-8aca-8c33fb2339f5" elementFormDefault="qualified">
    <xsd:import namespace="http://schemas.microsoft.com/office/2006/documentManagement/types"/>
    <xsd:import namespace="http://schemas.microsoft.com/office/infopath/2007/PartnerControls"/>
    <xsd:element name="Project" ma:index="8" nillable="true" ma:displayName="Project" ma:list="{466bfe19-0901-498c-8ba9-2a12267cbd25}" ma:internalName="Project" ma:readOnly="false" ma:showField="Title" ma:web="80727368-2d85-4693-8aca-8c33fb2339f5">
      <xsd:simpleType>
        <xsd:restriction base="dms:Lookup"/>
      </xsd:simpleType>
    </xsd:element>
    <xsd:element name="Project_x003a_Description" ma:index="9" nillable="true" ma:displayName="Project:Description" ma:list="{466bfe19-0901-498c-8ba9-2a12267cbd25}" ma:internalName="Project_x003A_Description" ma:readOnly="true" ma:showField="CategoryDescription" ma:web="80727368-2d85-4693-8aca-8c33fb2339f5">
      <xsd:simpleType>
        <xsd:restriction base="dms:Lookup"/>
      </xsd:simple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1f331-093e-4af9-b9a8-5fb9941cd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3148156e-35dd-42ed-ae17-2fd98e2f2e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_x002f_Time" ma:index="30" nillable="true" ma:displayName="Date/Time" ma:format="DateOnly" ma:internalName="Date_x002f_Time">
      <xsd:simpleType>
        <xsd:restriction base="dms:DateTim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urceFile" ma:index="33" nillable="true" ma:displayName="Source File" ma:description="Add links to Canva or other where the file can be directly edited. " ma:format="Dropdown" ma:internalName="SourceFile">
      <xsd:simpleType>
        <xsd:restriction base="dms:Note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441e-408f-4c04-8adb-e628fdc370c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d2fab4e7-a8b7-4971-b346-34430c230743}" ma:internalName="TaxCatchAll" ma:showField="CatchAllData" ma:web="61ea441e-408f-4c04-8adb-e628fdc37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27C756-D3B7-47C8-AC7B-D10A12F41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AA57A-6BF1-4D4C-B6C7-32E21DE9C338}">
  <ds:schemaRefs>
    <ds:schemaRef ds:uri="http://schemas.microsoft.com/office/2006/metadata/properties"/>
    <ds:schemaRef ds:uri="http://schemas.microsoft.com/office/infopath/2007/PartnerControls"/>
    <ds:schemaRef ds:uri="b031f331-093e-4af9-b9a8-5fb9941cd8bc"/>
    <ds:schemaRef ds:uri="80727368-2d85-4693-8aca-8c33fb2339f5"/>
    <ds:schemaRef ds:uri="http://schemas.microsoft.com/sharepoint/v4"/>
    <ds:schemaRef ds:uri="61ea441e-408f-4c04-8adb-e628fdc370c0"/>
  </ds:schemaRefs>
</ds:datastoreItem>
</file>

<file path=customXml/itemProps3.xml><?xml version="1.0" encoding="utf-8"?>
<ds:datastoreItem xmlns:ds="http://schemas.openxmlformats.org/officeDocument/2006/customXml" ds:itemID="{70FDE178-21CD-47CB-A9C8-09142C9A9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27368-2d85-4693-8aca-8c33fb2339f5"/>
    <ds:schemaRef ds:uri="http://schemas.microsoft.com/sharepoint/v4"/>
    <ds:schemaRef ds:uri="b031f331-093e-4af9-b9a8-5fb9941cd8bc"/>
    <ds:schemaRef ds:uri="61ea441e-408f-4c04-8adb-e628fdc37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TN</vt:lpstr>
      <vt:lpstr>TP</vt:lpstr>
      <vt:lpstr>TSS</vt:lpstr>
      <vt:lpstr>Hydraulic Change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Fraley-McNeal</dc:creator>
  <cp:keywords/>
  <dc:description/>
  <cp:lastModifiedBy>Carol Wong</cp:lastModifiedBy>
  <cp:revision/>
  <dcterms:created xsi:type="dcterms:W3CDTF">2024-10-07T18:38:34Z</dcterms:created>
  <dcterms:modified xsi:type="dcterms:W3CDTF">2025-03-17T16:16:29Z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0x01010084099C5946FA6344AFBC08FDA28BB5E3000F2A5536EED47B428001DEFDF00DB8CF</vt:lpwstr>
  </property>
  <property fmtid="{D5CDD505-2E9C-101B-9397-08002B2CF9AE}" pid="3" name="MediaServiceImageTags">
    <vt:lpwstr/>
  </property>
</Properties>
</file>